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caseymulligan/Dropbox/Regulation/PCMA/PBMregulationmodeling/"/>
    </mc:Choice>
  </mc:AlternateContent>
  <xr:revisionPtr revIDLastSave="0" documentId="13_ncr:1_{DA6F5B69-B7C6-104F-8956-BED730A0F909}" xr6:coauthVersionLast="47" xr6:coauthVersionMax="47" xr10:uidLastSave="{00000000-0000-0000-0000-000000000000}"/>
  <bookViews>
    <workbookView xWindow="660" yWindow="500" windowWidth="28140" windowHeight="17500" xr2:uid="{8BD38063-B49A-5B4B-AEBE-4497F15CD33B}"/>
  </bookViews>
  <sheets>
    <sheet name="README" sheetId="6" r:id="rId1"/>
    <sheet name="Tables12" sheetId="9" r:id="rId2"/>
    <sheet name="Brands" sheetId="1" r:id="rId3"/>
    <sheet name="Pharmacy" sheetId="4" r:id="rId4"/>
    <sheet name="BenefitParams" sheetId="3" r:id="rId5"/>
    <sheet name="BackgroundInfo1" sheetId="2" r:id="rId6"/>
    <sheet name="BackgroundInfo2" sheetId="5" r:id="rId7"/>
    <sheet name="QuantitativeProse" sheetId="11" r:id="rId8"/>
  </sheets>
  <definedNames>
    <definedName name="_xlnm._FilterDatabase" localSheetId="7" hidden="1">QuantitativeProse!$A$5:$I$745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6" i="11" l="1"/>
  <c r="F122" i="11"/>
  <c r="F134" i="11" l="1"/>
  <c r="F133" i="11"/>
  <c r="F132" i="11"/>
  <c r="F131" i="11"/>
  <c r="F27" i="11"/>
  <c r="F25" i="11"/>
  <c r="F20" i="11"/>
  <c r="F22" i="11" s="1"/>
  <c r="F19" i="11"/>
  <c r="F23" i="11" s="1"/>
  <c r="D41" i="9"/>
  <c r="C41" i="9"/>
  <c r="F26" i="11" l="1"/>
  <c r="F24" i="11"/>
  <c r="F29" i="11"/>
  <c r="F28" i="11"/>
  <c r="R19" i="9"/>
  <c r="N19" i="9"/>
  <c r="M19" i="9"/>
  <c r="Q19" i="9" s="1"/>
  <c r="H41" i="9"/>
  <c r="G41" i="9"/>
  <c r="K33" i="1" l="1"/>
  <c r="B52" i="2"/>
  <c r="B49" i="2"/>
  <c r="C44" i="2" l="1"/>
  <c r="B17" i="2" l="1"/>
  <c r="B24" i="5" l="1"/>
  <c r="B22" i="5"/>
  <c r="B19" i="5"/>
  <c r="B8" i="5"/>
  <c r="B7" i="5"/>
  <c r="B6" i="5"/>
  <c r="B15" i="2"/>
  <c r="B23" i="5" l="1"/>
  <c r="B13" i="2"/>
  <c r="B9" i="4" s="1"/>
  <c r="B20" i="2" l="1"/>
  <c r="B7" i="4"/>
  <c r="B12" i="4" l="1"/>
  <c r="C32" i="4"/>
  <c r="D32" i="4" s="1"/>
  <c r="E32" i="4" s="1"/>
  <c r="C31" i="4"/>
  <c r="D31" i="4" s="1"/>
  <c r="E31" i="4" s="1"/>
  <c r="C30" i="4"/>
  <c r="D30" i="4" s="1"/>
  <c r="E30" i="4" s="1"/>
  <c r="I22" i="4"/>
  <c r="H22" i="4"/>
  <c r="G22" i="4"/>
  <c r="B13" i="4"/>
  <c r="C24" i="4" l="1"/>
  <c r="B15" i="4"/>
  <c r="B17" i="4" s="1"/>
  <c r="C26" i="4" s="1"/>
  <c r="C29" i="4" s="1"/>
  <c r="D29" i="4" s="1"/>
  <c r="E29" i="4" s="1"/>
  <c r="C25" i="4"/>
  <c r="E24" i="4" l="1"/>
  <c r="D24" i="4"/>
  <c r="D15" i="9"/>
  <c r="H16" i="9"/>
  <c r="I16" i="9" s="1"/>
  <c r="C28" i="4"/>
  <c r="D28" i="4" s="1"/>
  <c r="D26" i="4"/>
  <c r="E26" i="4" s="1"/>
  <c r="H15" i="9" l="1"/>
  <c r="I15" i="9" s="1"/>
  <c r="E15" i="9"/>
  <c r="D16" i="9"/>
  <c r="E16" i="9" s="1"/>
  <c r="C33" i="4"/>
  <c r="C36" i="4" s="1"/>
  <c r="G36" i="4" s="1"/>
  <c r="E28" i="4"/>
  <c r="C37" i="4" l="1"/>
  <c r="C38" i="4" s="1"/>
  <c r="C35" i="4"/>
  <c r="G35" i="4" s="1"/>
  <c r="G37" i="4" l="1"/>
  <c r="C41" i="4"/>
  <c r="G41" i="4" s="1"/>
  <c r="C40" i="4"/>
  <c r="G40" i="4" s="1"/>
  <c r="G50" i="4"/>
  <c r="G52" i="4"/>
  <c r="G51" i="4"/>
  <c r="G46" i="4"/>
  <c r="G49" i="4"/>
  <c r="G47" i="4"/>
  <c r="C58" i="4"/>
  <c r="G38" i="4"/>
  <c r="G45" i="4"/>
  <c r="C42" i="4" l="1"/>
  <c r="G42" i="4" s="1"/>
  <c r="C57" i="4"/>
  <c r="C59" i="4" s="1"/>
  <c r="E77" i="1" l="1"/>
  <c r="D77" i="1"/>
  <c r="C77" i="1"/>
  <c r="E75" i="1"/>
  <c r="D75" i="1"/>
  <c r="C75" i="1"/>
  <c r="B8" i="2" l="1"/>
  <c r="B19" i="3" l="1"/>
  <c r="B20" i="3"/>
  <c r="B18" i="3" l="1"/>
  <c r="B8" i="3"/>
  <c r="G29" i="2"/>
  <c r="B9" i="3" s="1"/>
  <c r="B6" i="3" l="1"/>
  <c r="D33" i="2"/>
  <c r="B32" i="2"/>
  <c r="B30" i="2"/>
  <c r="D29" i="2"/>
  <c r="B28" i="2"/>
  <c r="B36" i="2" l="1"/>
  <c r="B31" i="2"/>
  <c r="B34" i="2" s="1"/>
  <c r="B35" i="2" s="1"/>
  <c r="B21" i="3"/>
  <c r="C8" i="3"/>
  <c r="B7" i="3"/>
  <c r="G41" i="1"/>
  <c r="D41" i="1"/>
  <c r="E41" i="1" s="1"/>
  <c r="G62" i="4" l="1"/>
  <c r="A15" i="3"/>
  <c r="D8" i="3"/>
  <c r="B10" i="3"/>
  <c r="H41" i="1"/>
  <c r="I41" i="1"/>
  <c r="B18" i="1" l="1"/>
  <c r="C24" i="1" l="1"/>
  <c r="I22" i="1"/>
  <c r="H22" i="1"/>
  <c r="G22" i="1"/>
  <c r="C32" i="1"/>
  <c r="D32" i="1" s="1"/>
  <c r="E32" i="1" s="1"/>
  <c r="C31" i="1"/>
  <c r="D31" i="1" s="1"/>
  <c r="E31" i="1" s="1"/>
  <c r="C30" i="1"/>
  <c r="D30" i="1" s="1"/>
  <c r="E30" i="1" s="1"/>
  <c r="E24" i="1" l="1"/>
  <c r="D24" i="1"/>
  <c r="C13" i="9"/>
  <c r="E13" i="9" s="1"/>
  <c r="C12" i="9"/>
  <c r="E12" i="9" s="1"/>
  <c r="G13" i="9"/>
  <c r="I13" i="9" s="1"/>
  <c r="B13" i="1"/>
  <c r="B12" i="1"/>
  <c r="D25" i="1" l="1"/>
  <c r="G12" i="9"/>
  <c r="B15" i="1"/>
  <c r="B17" i="1" s="1"/>
  <c r="C26" i="1" s="1"/>
  <c r="D26" i="1" s="1"/>
  <c r="E25" i="1"/>
  <c r="C25" i="1"/>
  <c r="I12" i="9" l="1"/>
  <c r="C29" i="1"/>
  <c r="D29" i="1" s="1"/>
  <c r="E29" i="1" s="1"/>
  <c r="C28" i="1"/>
  <c r="D28" i="1" s="1"/>
  <c r="E28" i="1" s="1"/>
  <c r="E26" i="1"/>
  <c r="C33" i="1" l="1"/>
  <c r="D33" i="1"/>
  <c r="C35" i="1" l="1"/>
  <c r="C40" i="1" s="1"/>
  <c r="D73" i="1"/>
  <c r="D76" i="1"/>
  <c r="D74" i="1"/>
  <c r="C37" i="1"/>
  <c r="C38" i="1" s="1"/>
  <c r="C76" i="1"/>
  <c r="G76" i="1" s="1"/>
  <c r="C73" i="1"/>
  <c r="G73" i="1" s="1"/>
  <c r="C74" i="1"/>
  <c r="G74" i="1" s="1"/>
  <c r="C36" i="1"/>
  <c r="D37" i="1"/>
  <c r="D35" i="1"/>
  <c r="D36" i="1"/>
  <c r="E33" i="1"/>
  <c r="G40" i="1" l="1"/>
  <c r="D40" i="1"/>
  <c r="G36" i="1"/>
  <c r="C44" i="4"/>
  <c r="H76" i="1"/>
  <c r="C78" i="1"/>
  <c r="E74" i="1"/>
  <c r="I74" i="1" s="1"/>
  <c r="E73" i="1"/>
  <c r="I73" i="1" s="1"/>
  <c r="E76" i="1"/>
  <c r="I76" i="1" s="1"/>
  <c r="H74" i="1"/>
  <c r="H73" i="1"/>
  <c r="D46" i="1"/>
  <c r="G37" i="1"/>
  <c r="C46" i="1"/>
  <c r="C51" i="1"/>
  <c r="G51" i="1" s="1"/>
  <c r="D51" i="1"/>
  <c r="G38" i="1"/>
  <c r="C56" i="1"/>
  <c r="G35" i="1"/>
  <c r="H36" i="1"/>
  <c r="H35" i="1"/>
  <c r="C6" i="9" s="1"/>
  <c r="F43" i="11" s="1"/>
  <c r="C44" i="1"/>
  <c r="D38" i="1"/>
  <c r="D78" i="1" s="1"/>
  <c r="H37" i="1"/>
  <c r="E37" i="1"/>
  <c r="E35" i="1"/>
  <c r="E40" i="1" s="1"/>
  <c r="E36" i="1"/>
  <c r="I36" i="1" s="1"/>
  <c r="G44" i="4" l="1"/>
  <c r="H78" i="1"/>
  <c r="H70" i="1"/>
  <c r="C34" i="9" s="1"/>
  <c r="E34" i="9" s="1"/>
  <c r="F75" i="11" s="1"/>
  <c r="G70" i="1"/>
  <c r="G78" i="1"/>
  <c r="C42" i="1"/>
  <c r="C45" i="4" s="1"/>
  <c r="G46" i="1"/>
  <c r="G66" i="1"/>
  <c r="G64" i="1"/>
  <c r="G61" i="1"/>
  <c r="G62" i="1"/>
  <c r="I62" i="1"/>
  <c r="Q7" i="9" s="1"/>
  <c r="E46" i="1"/>
  <c r="I66" i="1" s="1"/>
  <c r="Q10" i="9" s="1"/>
  <c r="S10" i="9" s="1"/>
  <c r="H64" i="1"/>
  <c r="M9" i="9" s="1"/>
  <c r="O9" i="9" s="1"/>
  <c r="H51" i="1"/>
  <c r="D55" i="1"/>
  <c r="H66" i="1"/>
  <c r="M10" i="9" s="1"/>
  <c r="O10" i="9" s="1"/>
  <c r="G56" i="1"/>
  <c r="H61" i="1"/>
  <c r="M5" i="9" s="1"/>
  <c r="M6" i="9" s="1"/>
  <c r="H62" i="1"/>
  <c r="M7" i="9" s="1"/>
  <c r="E51" i="1"/>
  <c r="I51" i="1" s="1"/>
  <c r="H38" i="1"/>
  <c r="C9" i="9" s="1"/>
  <c r="D56" i="1"/>
  <c r="H56" i="1" s="1"/>
  <c r="C28" i="9" s="1"/>
  <c r="E28" i="9" s="1"/>
  <c r="C55" i="1"/>
  <c r="G42" i="1"/>
  <c r="C45" i="1"/>
  <c r="H46" i="1"/>
  <c r="I35" i="1"/>
  <c r="G6" i="9" s="1"/>
  <c r="F44" i="11" s="1"/>
  <c r="I37" i="1"/>
  <c r="E38" i="1"/>
  <c r="E78" i="1" s="1"/>
  <c r="G44" i="1"/>
  <c r="D44" i="1"/>
  <c r="C10" i="9" l="1"/>
  <c r="F45" i="11"/>
  <c r="C61" i="4"/>
  <c r="I70" i="1"/>
  <c r="G34" i="9" s="1"/>
  <c r="I34" i="9" s="1"/>
  <c r="F76" i="11" s="1"/>
  <c r="I78" i="1"/>
  <c r="I64" i="1"/>
  <c r="Q9" i="9" s="1"/>
  <c r="I61" i="1"/>
  <c r="Q5" i="9" s="1"/>
  <c r="Q6" i="9" s="1"/>
  <c r="E55" i="1"/>
  <c r="I55" i="1" s="1"/>
  <c r="G27" i="9" s="1"/>
  <c r="E42" i="1"/>
  <c r="I42" i="1" s="1"/>
  <c r="G7" i="9" s="1"/>
  <c r="D42" i="1"/>
  <c r="H42" i="1" s="1"/>
  <c r="C7" i="9" s="1"/>
  <c r="G45" i="1"/>
  <c r="I46" i="1"/>
  <c r="G55" i="1"/>
  <c r="C57" i="1"/>
  <c r="G57" i="1" s="1"/>
  <c r="H55" i="1"/>
  <c r="C27" i="9" s="1"/>
  <c r="I38" i="1"/>
  <c r="G9" i="9" s="1"/>
  <c r="F46" i="11" s="1"/>
  <c r="E56" i="1"/>
  <c r="I56" i="1" s="1"/>
  <c r="G28" i="9" s="1"/>
  <c r="I28" i="9" s="1"/>
  <c r="D57" i="1"/>
  <c r="C47" i="1"/>
  <c r="C46" i="4" s="1"/>
  <c r="D45" i="1"/>
  <c r="E45" i="1"/>
  <c r="H40" i="1"/>
  <c r="I40" i="1"/>
  <c r="E44" i="1"/>
  <c r="H44" i="1"/>
  <c r="G10" i="9" l="1"/>
  <c r="H58" i="1"/>
  <c r="I58" i="1"/>
  <c r="C60" i="4"/>
  <c r="D46" i="4"/>
  <c r="E46" i="4" s="1"/>
  <c r="C47" i="4"/>
  <c r="G47" i="1"/>
  <c r="H45" i="1"/>
  <c r="I45" i="1"/>
  <c r="E57" i="1"/>
  <c r="I57" i="1" s="1"/>
  <c r="G30" i="9" s="1"/>
  <c r="H57" i="1"/>
  <c r="C30" i="9" s="1"/>
  <c r="G58" i="1"/>
  <c r="D47" i="1"/>
  <c r="E47" i="1"/>
  <c r="I44" i="1"/>
  <c r="C30" i="2"/>
  <c r="C28" i="2"/>
  <c r="C32" i="2"/>
  <c r="D32" i="2" s="1"/>
  <c r="C49" i="4" l="1"/>
  <c r="C51" i="4" s="1"/>
  <c r="C50" i="4"/>
  <c r="I47" i="1"/>
  <c r="H47" i="1"/>
  <c r="D28" i="2"/>
  <c r="C39" i="2"/>
  <c r="C9" i="3" s="1"/>
  <c r="C10" i="3" s="1"/>
  <c r="C36" i="2"/>
  <c r="C6" i="3" s="1"/>
  <c r="C31" i="2"/>
  <c r="C34" i="2" s="1"/>
  <c r="C41" i="2" s="1"/>
  <c r="D30" i="2"/>
  <c r="E49" i="1" l="1"/>
  <c r="D49" i="1"/>
  <c r="G68" i="4"/>
  <c r="G59" i="4"/>
  <c r="G57" i="4"/>
  <c r="G58" i="4"/>
  <c r="G60" i="4"/>
  <c r="C52" i="4"/>
  <c r="C42" i="2"/>
  <c r="C38" i="2"/>
  <c r="D9" i="3" s="1"/>
  <c r="D10" i="3" s="1"/>
  <c r="B4" i="3"/>
  <c r="C35" i="2"/>
  <c r="D6" i="3" s="1"/>
  <c r="D36" i="2"/>
  <c r="C7" i="3" s="1"/>
  <c r="D34" i="2"/>
  <c r="D31" i="2"/>
  <c r="C53" i="4" l="1"/>
  <c r="C54" i="4" s="1"/>
  <c r="E25" i="4"/>
  <c r="K25" i="4"/>
  <c r="K24" i="4" s="1" a="1"/>
  <c r="K24" i="4" s="1"/>
  <c r="G63" i="1"/>
  <c r="B5" i="3"/>
  <c r="C5" i="3" s="1"/>
  <c r="D42" i="2"/>
  <c r="C49" i="1"/>
  <c r="G65" i="1" s="1"/>
  <c r="I63" i="1"/>
  <c r="Q8" i="9" s="1"/>
  <c r="H63" i="1"/>
  <c r="M8" i="9" s="1"/>
  <c r="C50" i="1"/>
  <c r="G50" i="1" s="1"/>
  <c r="D50" i="1"/>
  <c r="E50" i="1"/>
  <c r="D35" i="2"/>
  <c r="D7" i="3" s="1"/>
  <c r="D4" i="3"/>
  <c r="C4" i="3"/>
  <c r="D25" i="4" l="1"/>
  <c r="D33" i="4" s="1"/>
  <c r="E33" i="4"/>
  <c r="G53" i="4"/>
  <c r="G54" i="4"/>
  <c r="G64" i="4" s="1"/>
  <c r="G67" i="1"/>
  <c r="G65" i="4"/>
  <c r="G66" i="4" s="1"/>
  <c r="B11" i="3"/>
  <c r="B12" i="3" s="1"/>
  <c r="D5" i="3"/>
  <c r="D11" i="3" s="1"/>
  <c r="D12" i="3" s="1"/>
  <c r="I50" i="1"/>
  <c r="H50" i="1"/>
  <c r="H65" i="1"/>
  <c r="G49" i="1"/>
  <c r="C52" i="1"/>
  <c r="I65" i="1"/>
  <c r="I49" i="1"/>
  <c r="E52" i="1"/>
  <c r="K25" i="1"/>
  <c r="K24" i="1" s="1" a="1"/>
  <c r="K24" i="1" s="1"/>
  <c r="H67" i="1"/>
  <c r="M11" i="9" s="1"/>
  <c r="M13" i="9" s="1"/>
  <c r="I67" i="1"/>
  <c r="Q11" i="9" s="1"/>
  <c r="Q13" i="9" s="1"/>
  <c r="Q14" i="9" s="1"/>
  <c r="H49" i="1"/>
  <c r="D52" i="1"/>
  <c r="C11" i="3"/>
  <c r="C12" i="3" s="1"/>
  <c r="C14" i="3" s="1"/>
  <c r="M14" i="9" l="1"/>
  <c r="D14" i="3"/>
  <c r="E36" i="4"/>
  <c r="E35" i="4"/>
  <c r="E37" i="4"/>
  <c r="D37" i="4"/>
  <c r="D36" i="4"/>
  <c r="D35" i="4"/>
  <c r="B23" i="4"/>
  <c r="K26" i="4"/>
  <c r="C19" i="4"/>
  <c r="B25" i="4"/>
  <c r="G67" i="4"/>
  <c r="H59" i="1"/>
  <c r="C32" i="9" s="1"/>
  <c r="G63" i="4"/>
  <c r="B14" i="3"/>
  <c r="I59" i="1"/>
  <c r="G32" i="9" s="1"/>
  <c r="G59" i="1"/>
  <c r="G52" i="1"/>
  <c r="G60" i="1" s="1"/>
  <c r="G68" i="1"/>
  <c r="G69" i="1" s="1"/>
  <c r="H52" i="1"/>
  <c r="H60" i="1" s="1"/>
  <c r="H68" i="1"/>
  <c r="H69" i="1" s="1"/>
  <c r="C33" i="9" s="1"/>
  <c r="B23" i="1"/>
  <c r="B25" i="1"/>
  <c r="K26" i="1"/>
  <c r="B24" i="1"/>
  <c r="C19" i="1"/>
  <c r="I52" i="1"/>
  <c r="I60" i="1" s="1"/>
  <c r="I68" i="1"/>
  <c r="I69" i="1" s="1"/>
  <c r="G33" i="9" l="1"/>
  <c r="C31" i="9"/>
  <c r="G31" i="9"/>
  <c r="E41" i="4"/>
  <c r="E57" i="4" s="1"/>
  <c r="I57" i="4" s="1"/>
  <c r="H27" i="9" s="1"/>
  <c r="I27" i="9" s="1"/>
  <c r="F42" i="11" s="1"/>
  <c r="D41" i="4"/>
  <c r="D57" i="4" s="1"/>
  <c r="H57" i="4" s="1"/>
  <c r="D27" i="9" s="1"/>
  <c r="E27" i="9" s="1"/>
  <c r="F41" i="11" s="1"/>
  <c r="H36" i="4"/>
  <c r="D44" i="4"/>
  <c r="I36" i="4"/>
  <c r="E44" i="4"/>
  <c r="H35" i="4"/>
  <c r="I37" i="4"/>
  <c r="E38" i="4"/>
  <c r="E40" i="4" s="1"/>
  <c r="I35" i="4"/>
  <c r="H37" i="4"/>
  <c r="D38" i="4"/>
  <c r="C35" i="9" l="1"/>
  <c r="G35" i="9"/>
  <c r="I41" i="4"/>
  <c r="H41" i="4"/>
  <c r="E45" i="4"/>
  <c r="E61" i="4" s="1"/>
  <c r="I68" i="4" s="1"/>
  <c r="I46" i="4"/>
  <c r="I44" i="4"/>
  <c r="H9" i="9" s="1"/>
  <c r="R5" i="9" s="1"/>
  <c r="S5" i="9" s="1"/>
  <c r="D40" i="4"/>
  <c r="H40" i="4" s="1"/>
  <c r="D45" i="4"/>
  <c r="D61" i="4" s="1"/>
  <c r="H68" i="4" s="1"/>
  <c r="H46" i="4"/>
  <c r="H44" i="4"/>
  <c r="D9" i="9" s="1"/>
  <c r="N5" i="9" s="1"/>
  <c r="O5" i="9" s="1"/>
  <c r="E58" i="4"/>
  <c r="I58" i="4" s="1"/>
  <c r="I38" i="4"/>
  <c r="E42" i="4"/>
  <c r="E50" i="4" s="1"/>
  <c r="I50" i="4" s="1"/>
  <c r="I40" i="4"/>
  <c r="D58" i="4"/>
  <c r="H58" i="4" s="1"/>
  <c r="D29" i="9" s="1"/>
  <c r="E29" i="9" s="1"/>
  <c r="F85" i="11" s="1"/>
  <c r="H38" i="4"/>
  <c r="H29" i="9" l="1"/>
  <c r="I29" i="9" s="1"/>
  <c r="H10" i="9"/>
  <c r="I9" i="9"/>
  <c r="E9" i="9"/>
  <c r="D10" i="9"/>
  <c r="E47" i="4"/>
  <c r="I47" i="4" s="1"/>
  <c r="E60" i="4"/>
  <c r="I60" i="4" s="1"/>
  <c r="D47" i="4"/>
  <c r="H47" i="4" s="1"/>
  <c r="D60" i="4"/>
  <c r="H60" i="4" s="1"/>
  <c r="D42" i="4"/>
  <c r="D50" i="4" s="1"/>
  <c r="H50" i="4" s="1"/>
  <c r="I45" i="4"/>
  <c r="H45" i="4"/>
  <c r="I42" i="4"/>
  <c r="E10" i="9" l="1"/>
  <c r="F36" i="11" s="1"/>
  <c r="N6" i="9"/>
  <c r="O6" i="9" s="1"/>
  <c r="I10" i="9"/>
  <c r="F37" i="11" s="1"/>
  <c r="R6" i="9"/>
  <c r="H62" i="4"/>
  <c r="H65" i="4" s="1"/>
  <c r="N11" i="9" s="1"/>
  <c r="O11" i="9" s="1"/>
  <c r="D6" i="9"/>
  <c r="N7" i="9" s="1"/>
  <c r="O7" i="9" s="1"/>
  <c r="I62" i="4"/>
  <c r="I65" i="4" s="1"/>
  <c r="R11" i="9" s="1"/>
  <c r="S11" i="9" s="1"/>
  <c r="H6" i="9"/>
  <c r="R7" i="9" s="1"/>
  <c r="E49" i="4"/>
  <c r="E51" i="4" s="1"/>
  <c r="H42" i="4"/>
  <c r="D49" i="4"/>
  <c r="E59" i="4"/>
  <c r="I59" i="4" s="1"/>
  <c r="H30" i="9" s="1"/>
  <c r="I30" i="9" s="1"/>
  <c r="D59" i="4"/>
  <c r="H59" i="4" s="1"/>
  <c r="D30" i="9" s="1"/>
  <c r="E30" i="9" s="1"/>
  <c r="R9" i="9" l="1"/>
  <c r="S9" i="9" s="1"/>
  <c r="S7" i="9"/>
  <c r="S6" i="9"/>
  <c r="H7" i="9"/>
  <c r="I6" i="9"/>
  <c r="F32" i="11" s="1"/>
  <c r="D7" i="9"/>
  <c r="E6" i="9"/>
  <c r="F31" i="11" s="1"/>
  <c r="H63" i="4"/>
  <c r="D32" i="9" s="1"/>
  <c r="E32" i="9" s="1"/>
  <c r="F48" i="11" s="1"/>
  <c r="I63" i="4"/>
  <c r="H32" i="9" s="1"/>
  <c r="I32" i="9" s="1"/>
  <c r="F49" i="11" s="1"/>
  <c r="E52" i="4"/>
  <c r="I51" i="4"/>
  <c r="I49" i="4"/>
  <c r="D51" i="4"/>
  <c r="H49" i="4"/>
  <c r="E7" i="9" l="1"/>
  <c r="F33" i="11" s="1"/>
  <c r="N8" i="9"/>
  <c r="I7" i="9"/>
  <c r="F34" i="11" s="1"/>
  <c r="R8" i="9"/>
  <c r="I52" i="4"/>
  <c r="E53" i="4"/>
  <c r="I53" i="4" s="1"/>
  <c r="D52" i="4"/>
  <c r="H51" i="4"/>
  <c r="S8" i="9" l="1"/>
  <c r="S13" i="9" s="1"/>
  <c r="R13" i="9"/>
  <c r="R14" i="9" s="1"/>
  <c r="S14" i="9" s="1"/>
  <c r="F68" i="11" s="1"/>
  <c r="N13" i="9"/>
  <c r="O8" i="9"/>
  <c r="O13" i="9" s="1"/>
  <c r="E54" i="4"/>
  <c r="I66" i="4" s="1"/>
  <c r="I67" i="4" s="1"/>
  <c r="H33" i="9" s="1"/>
  <c r="H52" i="4"/>
  <c r="D53" i="4"/>
  <c r="D54" i="4" s="1"/>
  <c r="H54" i="4" s="1"/>
  <c r="H64" i="4" s="1"/>
  <c r="F6" i="11" l="1"/>
  <c r="F65" i="11"/>
  <c r="F71" i="11" s="1"/>
  <c r="F7" i="11"/>
  <c r="F66" i="11"/>
  <c r="F72" i="11" s="1"/>
  <c r="H31" i="9"/>
  <c r="I33" i="9"/>
  <c r="N14" i="9"/>
  <c r="I54" i="4"/>
  <c r="I64" i="4" s="1"/>
  <c r="H53" i="4"/>
  <c r="H66" i="4"/>
  <c r="H67" i="4" s="1"/>
  <c r="D33" i="9" s="1"/>
  <c r="D31" i="9" l="1"/>
  <c r="E33" i="9"/>
  <c r="H35" i="9"/>
  <c r="I31" i="9"/>
  <c r="I35" i="9" s="1"/>
  <c r="F79" i="11" s="1"/>
  <c r="O14" i="9"/>
  <c r="F67" i="11" s="1"/>
  <c r="D35" i="9" l="1"/>
  <c r="E31" i="9"/>
  <c r="E35" i="9" s="1"/>
  <c r="F86" i="11" l="1"/>
  <c r="F88" i="11" s="1"/>
  <c r="F78"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<sst xmlns="http://schemas.openxmlformats.org/spreadsheetml/2006/main" count="948" uniqueCount="600">
  <si>
    <t>Industry elasticity of demand</t>
  </si>
  <si>
    <t>Parameter</t>
  </si>
  <si>
    <t>Value</t>
  </si>
  <si>
    <t>Restrictions</t>
  </si>
  <si>
    <t>Must be elastic, and more elastic than industry demand</t>
  </si>
  <si>
    <t>Own price elasticity</t>
  </si>
  <si>
    <t>Between own elasticity and 0</t>
  </si>
  <si>
    <t>Elasticity of substitution between two brands</t>
  </si>
  <si>
    <t>Scenarios</t>
  </si>
  <si>
    <t>Baseline</t>
  </si>
  <si>
    <t>Outcome</t>
  </si>
  <si>
    <t>Min</t>
  </si>
  <si>
    <t>Max</t>
  </si>
  <si>
    <t>Mid</t>
  </si>
  <si>
    <t>Maximum rebate rate (limit of zero mgt cost)</t>
  </si>
  <si>
    <t>Sharing parameters consistent with baseline rebate (i.e., sharing parameter is partially identified)</t>
  </si>
  <si>
    <t>Positive but below maximum, which is a function of eta and epsilon (see below)</t>
  </si>
  <si>
    <t>Sharing parameter</t>
  </si>
  <si>
    <t>Baseline rebate rate, average among brands</t>
  </si>
  <si>
    <t>b1</t>
  </si>
  <si>
    <t>b0</t>
  </si>
  <si>
    <t>b2</t>
  </si>
  <si>
    <t>b3</t>
  </si>
  <si>
    <t>Mgt cost parameter supporting the rebate rate</t>
  </si>
  <si>
    <t>Quantity</t>
  </si>
  <si>
    <t>b4</t>
  </si>
  <si>
    <t>Marginal price</t>
  </si>
  <si>
    <t>List price</t>
  </si>
  <si>
    <t>Rebate-inversion coefficients</t>
  </si>
  <si>
    <t>Impact relative to baseline</t>
  </si>
  <si>
    <t>Net price</t>
  </si>
  <si>
    <t>Mgt</t>
  </si>
  <si>
    <t>Total</t>
  </si>
  <si>
    <t>Error processing</t>
  </si>
  <si>
    <t>List of truncated scenarios</t>
  </si>
  <si>
    <t>Number of truncated scenarios</t>
  </si>
  <si>
    <t>Flag for highlighting demand parameters</t>
  </si>
  <si>
    <t>Note: Input-format (orange) cells can be edited to employ alternative assumptions or rename scenarios.</t>
  </si>
  <si>
    <t>Brands</t>
  </si>
  <si>
    <t>Industry effect of brand quantity, with generic offset</t>
  </si>
  <si>
    <t>Generic share of scripts</t>
  </si>
  <si>
    <t>Source</t>
  </si>
  <si>
    <t>https://accessiblemeds.org/sites/default/files/2021-10/AAM-2021-US-Generic-Biosimilar-Medicines-Savings-Report-web.pdf</t>
  </si>
  <si>
    <t>Generics</t>
  </si>
  <si>
    <t>Price</t>
  </si>
  <si>
    <t>Total Quantity</t>
  </si>
  <si>
    <t>Value in the supply chain</t>
  </si>
  <si>
    <t>Impact as percentage of baseline rebates</t>
  </si>
  <si>
    <t>Aggregate rebates</t>
  </si>
  <si>
    <t>Mfr profit</t>
  </si>
  <si>
    <t>Patients and plans</t>
  </si>
  <si>
    <t>Table A1.  Benefit parameters and retention rates by segment</t>
  </si>
  <si>
    <t>Medicare</t>
  </si>
  <si>
    <t>Commercial</t>
  </si>
  <si>
    <t>Entire market</t>
  </si>
  <si>
    <t>(b) Copay share: Nonpharm.</t>
  </si>
  <si>
    <t>(c) Premium subsidy rate: Rx</t>
  </si>
  <si>
    <t>(d) Premium subsidy rate: Nonpharm.</t>
  </si>
  <si>
    <t>(e) Plan retention rate (1.5 yearly)</t>
  </si>
  <si>
    <t>Annual retention rate (1/2 adjustment for attritition to another plan from the same company) applied over 1.5 years.  https://doi.org/10.18553/jmcp.2019.25.5.612</t>
  </si>
  <si>
    <t>(f) Share of Rx plans that are integrated, enrollment weighted</t>
  </si>
  <si>
    <t>beta</t>
  </si>
  <si>
    <t>own share</t>
  </si>
  <si>
    <t>(g) Third-party share of nonpharm. savings</t>
  </si>
  <si>
    <t>= 1-[(b)+(e)*(f)(1-(b))(1-(d))]/[1-(1-(a))(c)]</t>
  </si>
  <si>
    <t>(h) factor for converting quantity impacts</t>
  </si>
  <si>
    <t>H</t>
  </si>
  <si>
    <t>(a) Copay share of net spend: Rx</t>
  </si>
  <si>
    <t>Amounts (2020 NHE Tbl 4, net of rebates)</t>
  </si>
  <si>
    <t>All healthcare</t>
  </si>
  <si>
    <t>Drugs</t>
  </si>
  <si>
    <t>Nondrugs</t>
  </si>
  <si>
    <t>MTR</t>
  </si>
  <si>
    <t>Premiums</t>
  </si>
  <si>
    <t>Employer</t>
  </si>
  <si>
    <t>ACA (at the margin)</t>
  </si>
  <si>
    <t>All other gov (at the margin)</t>
  </si>
  <si>
    <t>NonACA individual</t>
  </si>
  <si>
    <t>Out of pocket</t>
  </si>
  <si>
    <t>AMTR</t>
  </si>
  <si>
    <t>Total premiums</t>
  </si>
  <si>
    <t>Taxes on labor, excluding sales tax</t>
  </si>
  <si>
    <t>Assumed</t>
  </si>
  <si>
    <t>AMTR commercial</t>
  </si>
  <si>
    <t>Integration rate</t>
  </si>
  <si>
    <t>kff "Medicare beneficiaries enrolled in Part D Coverage" 2022</t>
  </si>
  <si>
    <t>Weighted integration rates</t>
  </si>
  <si>
    <t>All</t>
  </si>
  <si>
    <t>Health plan retention rate</t>
  </si>
  <si>
    <t>between 0 and 1.</t>
  </si>
  <si>
    <t>https://www.kff.org/report-section/a-primer-on-medicare-how-is-medicare-financed-and-what-are-medicares-future-financing-challenges/ (Part D, non-LIS members)</t>
  </si>
  <si>
    <t>Converts percentage change in quantity to third-party savings on nonpharmacy medical spending, with the savings expressed as a ratio to net Rx spending.  See Appendix II.</t>
  </si>
  <si>
    <t>Notation from Appendix II</t>
  </si>
  <si>
    <t>Medicare Part D savings on hospital spending</t>
  </si>
  <si>
    <t>Statistic</t>
  </si>
  <si>
    <t>Nonpharmacy savings as a ratio to hospital savings</t>
  </si>
  <si>
    <t>Lichtenberg (2007, p. 488)</t>
  </si>
  <si>
    <t>Part D savings on nondrug spending (delta)</t>
  </si>
  <si>
    <t>Nonnegative</t>
  </si>
  <si>
    <t>Part D impact on Rx utilization (q1/q0)</t>
  </si>
  <si>
    <t>Part D impact on drug utilization</t>
  </si>
  <si>
    <t>Kaestner, Schiman and Alexander (2019; midpoint of their range)</t>
  </si>
  <si>
    <t>Kaestner and Kahn (2012)</t>
  </si>
  <si>
    <t>factor for converting quantity impacts</t>
  </si>
  <si>
    <t>Part D history is used an "experiment" to assess the effect of Rx utilization on nonpharmacy medical spending, even in the commerical segment.</t>
  </si>
  <si>
    <t>Used exclusively for nonpharmacy savings</t>
  </si>
  <si>
    <t>Gerhardt and Arora (2020)</t>
  </si>
  <si>
    <t>Share of hospital revenue that is inpatient</t>
  </si>
  <si>
    <t>2020 National Health Expenditure Accounts, Table 19.</t>
  </si>
  <si>
    <t>Hospital spending, $ billion</t>
  </si>
  <si>
    <t>Retail Rx spending, $ billion</t>
  </si>
  <si>
    <t>Positive</t>
  </si>
  <si>
    <t>Comments</t>
  </si>
  <si>
    <t>Nonpharmacy medical savings from added Rx usage</t>
  </si>
  <si>
    <t>Altarum Prescription Drug Rebate Report, April 2018</t>
  </si>
  <si>
    <t>Rebates as a ratio to net Rx spend (including generics)</t>
  </si>
  <si>
    <t>Agg. out of pocket spend</t>
  </si>
  <si>
    <t>Agg. net expenditure</t>
  </si>
  <si>
    <t>Quantity per brand</t>
  </si>
  <si>
    <t>Aggregate premiums</t>
  </si>
  <si>
    <t>Aggregate Rx premiums</t>
  </si>
  <si>
    <t>Utilization: brands</t>
  </si>
  <si>
    <t>Utilization: generics</t>
  </si>
  <si>
    <t>Price-quantity interaction</t>
  </si>
  <si>
    <t>Rebates shifted to POS</t>
  </si>
  <si>
    <t>Third-party savings</t>
  </si>
  <si>
    <t>Management costs</t>
  </si>
  <si>
    <t>Nonpharm. medical costs</t>
  </si>
  <si>
    <t>Out of pocket as share of gross drug spend</t>
  </si>
  <si>
    <t>Economic parameters are shown in the upper pane.</t>
  </si>
  <si>
    <t>Simulated outcomes are shown in the lower pane, organized by themes that are indicated by color and indentation.</t>
  </si>
  <si>
    <t>Government financing of premiums</t>
  </si>
  <si>
    <t>MDWC due to government financing</t>
  </si>
  <si>
    <t>Used exclusively for external effects</t>
  </si>
  <si>
    <t>Marginal deadweight cost of government spending</t>
  </si>
  <si>
    <t>2019 Economic Report of the President (p. 112)</t>
  </si>
  <si>
    <t>Duration of drug life cycle stages, years</t>
  </si>
  <si>
    <t>Monopoly phase</t>
  </si>
  <si>
    <t>Effective patent length</t>
  </si>
  <si>
    <t>Oligopoly phase</t>
  </si>
  <si>
    <t>Between 0 and 20 years</t>
  </si>
  <si>
    <t>Between 0 and effective patent life</t>
  </si>
  <si>
    <t>Annual discount rate for innovatory cash flows</t>
  </si>
  <si>
    <t>Schacht and Thomas (2012)</t>
  </si>
  <si>
    <t>Revenue</t>
  </si>
  <si>
    <t>Demand at List price</t>
  </si>
  <si>
    <t>Outcomes for monopolists offering volume discounts</t>
  </si>
  <si>
    <t>APV</t>
  </si>
  <si>
    <t>APV factors</t>
  </si>
  <si>
    <t>Generic phase</t>
  </si>
  <si>
    <t>Generic earnings factor (vs oligopoly)</t>
  </si>
  <si>
    <t>Mulligan (2021)</t>
  </si>
  <si>
    <t>Value of drug-innovation impact</t>
  </si>
  <si>
    <t>DWC (innovation) of redistribution</t>
  </si>
  <si>
    <t>Mulligan (2022)</t>
  </si>
  <si>
    <t>Baseline discounting, pharmacy and manufacturer</t>
  </si>
  <si>
    <t>Maximum discounting (limit of zero mgt cost)</t>
  </si>
  <si>
    <t>Sharing parameters consistent with baseline discounting (i.e., sharing parameter is partially identified)</t>
  </si>
  <si>
    <t>Price*Quantity</t>
  </si>
  <si>
    <t>Elasticity of substitution between two pharmacies</t>
  </si>
  <si>
    <t>Sood et al (2017)</t>
  </si>
  <si>
    <t>Pharmacy discount rate</t>
  </si>
  <si>
    <t>Average of 2019 and 2020.  87 FR 27834, 2021 Trustees report Table IV.B8, https://www.medpac.gov/wp-content/uploads/2021/10/DIR-Slides-MedPAC-29-Sept-2022.pdf, https://www.kff.org/medicare/issue-brief/relatively-few-drugs-account-for-a-large-share-of-medicare-prescription-drug-spending/</t>
  </si>
  <si>
    <t>Part D</t>
  </si>
  <si>
    <t>Quantity per firm</t>
  </si>
  <si>
    <t>Retail pharmacy services</t>
  </si>
  <si>
    <t>https://www.drugchannels.net/2022/03/the-top-15-us-pharmacies-of-2021-market.html</t>
  </si>
  <si>
    <t>Rx revenue share of retail pharmacies</t>
  </si>
  <si>
    <t>Agg. net expenditure on retail pharmacy</t>
  </si>
  <si>
    <t>Rx dispenses</t>
  </si>
  <si>
    <t>Quantity (brand &amp; generic)</t>
  </si>
  <si>
    <t>Net manufacturer &amp; PBM price</t>
  </si>
  <si>
    <t>Net manufacturer &amp; PBM spend</t>
  </si>
  <si>
    <t>Discounting share of gross pharmacy costs</t>
  </si>
  <si>
    <t>Net</t>
  </si>
  <si>
    <t>Gross</t>
  </si>
  <si>
    <t>Agg. Rx Spending</t>
  </si>
  <si>
    <t>Pharmacy DIR</t>
  </si>
  <si>
    <t>Manufacturer DIR</t>
  </si>
  <si>
    <t>Impact as percentage of baseline pharmacy DIR</t>
  </si>
  <si>
    <t>Pharmacy profit</t>
  </si>
  <si>
    <t>Value of pharmacy contracts</t>
  </si>
  <si>
    <t>Manufacturer profits</t>
  </si>
  <si>
    <t>Marginal brand price</t>
  </si>
  <si>
    <t>Brand manufacturer revenue</t>
  </si>
  <si>
    <t>General background information for calibrating the industry model</t>
  </si>
  <si>
    <t>Spending by type and sponsor</t>
  </si>
  <si>
    <t>Background information for calibrating external effects and nonpharmacy savings</t>
  </si>
  <si>
    <t>Pharmacy Benefit Management Regulation Simulator</t>
  </si>
  <si>
    <t>Worksheet Tab</t>
  </si>
  <si>
    <t>Pharmacy</t>
  </si>
  <si>
    <t>Tables organizing results</t>
  </si>
  <si>
    <t>Background information</t>
  </si>
  <si>
    <t>BenefitParams</t>
  </si>
  <si>
    <t>General background</t>
  </si>
  <si>
    <t>Specialized background</t>
  </si>
  <si>
    <t>BackgroundInfo1</t>
  </si>
  <si>
    <t>BackgroundInfo2</t>
  </si>
  <si>
    <t>Scenario</t>
  </si>
  <si>
    <t>Baseline pharmacy DIR, $ billion/yr</t>
  </si>
  <si>
    <t>87 FR 27834; average of 2019 and 2020.</t>
  </si>
  <si>
    <t>Pharmacy losses (- is profit)</t>
  </si>
  <si>
    <t>External effects</t>
  </si>
  <si>
    <t>3rd-party nondrug health costs</t>
  </si>
  <si>
    <t>Tax distortions</t>
  </si>
  <si>
    <t>Foregone drug innovation</t>
  </si>
  <si>
    <t>Net costs in the supply chain</t>
  </si>
  <si>
    <t>Pharmacy net revenue/net industry</t>
  </si>
  <si>
    <t>Baseline pharmacy discounts, share of industry net revenue</t>
  </si>
  <si>
    <t>$ billion per year</t>
  </si>
  <si>
    <t>Plan &amp; patient lost value</t>
  </si>
  <si>
    <t>Manufacturer losses (- is profit)</t>
  </si>
  <si>
    <t>Table 1b.  Rebate Rules: Regulatory Costs</t>
  </si>
  <si>
    <t>% of baseline premium [a]</t>
  </si>
  <si>
    <t>Added medical costs</t>
  </si>
  <si>
    <t>Added management costs</t>
  </si>
  <si>
    <t>Regulated</t>
  </si>
  <si>
    <t>Utilization-price interaction</t>
  </si>
  <si>
    <t>Utilization impact: generics</t>
  </si>
  <si>
    <t>Utilization impact: brands</t>
  </si>
  <si>
    <t>Net price impact: brands</t>
  </si>
  <si>
    <t>Premium impact component</t>
  </si>
  <si>
    <t>Quantity effect</t>
  </si>
  <si>
    <t>Table 1a.  Rebate Rules: Effects on Market Performance</t>
  </si>
  <si>
    <t>Tables12</t>
  </si>
  <si>
    <t>Out of pocket as share of net drug spend</t>
  </si>
  <si>
    <t>Rebate rate (brands)</t>
  </si>
  <si>
    <t>Total net costs</t>
  </si>
  <si>
    <t>Combined premium impact</t>
  </si>
  <si>
    <t>Out of pocket as share of gross drug spend, insulin</t>
  </si>
  <si>
    <t>https://www.kff.org/medicare/issue-brief/how-much-does-medicare-spend-on-insulin/</t>
  </si>
  <si>
    <t>Table 2.  Rebate Rules Affect Health Insurance Premiums</t>
  </si>
  <si>
    <t>Mulligan (2022) The Value of Pharmacy Benefit Management</t>
  </si>
  <si>
    <t>Share of the surplus from benefit management that would be lost if there were a monopoly PBM</t>
  </si>
  <si>
    <t>old excel version?</t>
  </si>
  <si>
    <t>Prose linked to Excel calculations</t>
  </si>
  <si>
    <t>Category</t>
  </si>
  <si>
    <t>seq</t>
  </si>
  <si>
    <t>Txt before</t>
  </si>
  <si>
    <t>Numword</t>
  </si>
  <si>
    <t>Number</t>
  </si>
  <si>
    <t>Arithmetic</t>
  </si>
  <si>
    <t>Txt after</t>
  </si>
  <si>
    <t>Comment</t>
  </si>
  <si>
    <t>Part of a larger word</t>
  </si>
  <si>
    <t>Other</t>
  </si>
  <si>
    <t>31</t>
  </si>
  <si>
    <t xml:space="preserve"> percent.</t>
  </si>
  <si>
    <t>2</t>
  </si>
  <si>
    <t>third</t>
  </si>
  <si>
    <t>two</t>
  </si>
  <si>
    <t>2022</t>
  </si>
  <si>
    <t>zero</t>
  </si>
  <si>
    <t>.</t>
  </si>
  <si>
    <t>one</t>
  </si>
  <si>
    <t>Sentence starter</t>
  </si>
  <si>
    <t>0</t>
  </si>
  <si>
    <t>Figure reference</t>
  </si>
  <si>
    <t xml:space="preserve">in terms of the market-level demand analysis, this corresponds to a leftward shift in the marginal management cost curve as shown in figure </t>
  </si>
  <si>
    <t>1.</t>
  </si>
  <si>
    <t xml:space="preserve">figure </t>
  </si>
  <si>
    <t>1</t>
  </si>
  <si>
    <t xml:space="preserve">the brand-brand competition embedded in figure </t>
  </si>
  <si>
    <t xml:space="preserve"> also permits estimation of the effect of regulation on net prices and manufacturer profits, which would increase in response to higher marginal-management costs as long as the equilibrium point is not shifted beyond the monopoly point on the demand curve.</t>
  </si>
  <si>
    <t xml:space="preserve"> with additional information.</t>
  </si>
  <si>
    <t xml:space="preserve">mulligan (2022) shows how to derive effects of drug innovation by using different versions of figure </t>
  </si>
  <si>
    <t xml:space="preserve"> to model the (negative) effect of benefit-management costs on the profits of monopoly brands and the (potentially positive) effect of the profits of manufacturers in markets with brand-brand competition.</t>
  </si>
  <si>
    <t>).</t>
  </si>
  <si>
    <t>three</t>
  </si>
  <si>
    <t>10</t>
  </si>
  <si>
    <t>100</t>
  </si>
  <si>
    <t>Table reference</t>
  </si>
  <si>
    <t xml:space="preserve">table </t>
  </si>
  <si>
    <t>5</t>
  </si>
  <si>
    <t>3</t>
  </si>
  <si>
    <t>b.</t>
  </si>
  <si>
    <t>2.</t>
  </si>
  <si>
    <t xml:space="preserve">these additions to premiums are shown in table </t>
  </si>
  <si>
    <t>’s sixth and seventh rows.</t>
  </si>
  <si>
    <t xml:space="preserve">these additions to premiums are shown in table 2’s </t>
  </si>
  <si>
    <t>six</t>
  </si>
  <si>
    <t>th and seventh rows.</t>
  </si>
  <si>
    <t xml:space="preserve">these additions to premiums are shown in table 2’s sixth and </t>
  </si>
  <si>
    <t>seven</t>
  </si>
  <si>
    <t>th rows.</t>
  </si>
  <si>
    <t xml:space="preserve">the </t>
  </si>
  <si>
    <t>th row exceeds the corresponding row in table 1b because table 2 counts the entire effect on nonpharmacy medical costs whereas table 1b partitions that amount between plan/patient value and third-party value.</t>
  </si>
  <si>
    <t xml:space="preserve">the seventh row exceeds the corresponding row in table </t>
  </si>
  <si>
    <t>b because table 2 counts the entire effect on nonpharmacy medical costs whereas table 1b partitions that amount between plan/patient value and third-party value.</t>
  </si>
  <si>
    <t xml:space="preserve">the seventh row exceeds the corresponding row in table 1b because table </t>
  </si>
  <si>
    <t xml:space="preserve"> counts the entire effect on nonpharmacy medical costs whereas table 1b partitions that amount between plan/patient value and third-party value.</t>
  </si>
  <si>
    <t xml:space="preserve">the seventh row exceeds the corresponding row in table 1b because table 2 counts the entire effect on nonpharmacy medical costs whereas table </t>
  </si>
  <si>
    <t>b partitions that amount between plan/patient value and third-party value.</t>
  </si>
  <si>
    <t xml:space="preserve">expressed as a percentage change in drug-plan premiums from baseline to regulated, that is a </t>
  </si>
  <si>
    <t xml:space="preserve"> percent increase.</t>
  </si>
  <si>
    <t>84</t>
  </si>
  <si>
    <t>2019</t>
  </si>
  <si>
    <t xml:space="preserve"> effects on the incentives of manufacturers to bring unique new drugs to market.</t>
  </si>
  <si>
    <t>b’s “foregone drug innovation” row.</t>
  </si>
  <si>
    <t>9</t>
  </si>
  <si>
    <t>24</t>
  </si>
  <si>
    <t xml:space="preserve">consider figure </t>
  </si>
  <si>
    <t xml:space="preserve"> again.</t>
  </si>
  <si>
    <t>volume discounting not only means that the net price [</t>
  </si>
  <si>
    <t>r(q)]l is less than the list price, but that the marginal cost m is less than the net price.</t>
  </si>
  <si>
    <t xml:space="preserve"> billion.</t>
  </si>
  <si>
    <t>4</t>
  </si>
  <si>
    <t>12.</t>
  </si>
  <si>
    <t>92</t>
  </si>
  <si>
    <t>2023</t>
  </si>
  <si>
    <t>Section reference</t>
  </si>
  <si>
    <t>-13</t>
  </si>
  <si>
    <t xml:space="preserve">to avoid double-counting, only the second component of the nondrug medical costs is shown as a distinct category in table </t>
  </si>
  <si>
    <t>8</t>
  </si>
  <si>
    <t xml:space="preserve"> percent, respectively.</t>
  </si>
  <si>
    <t>29.8</t>
  </si>
  <si>
    <t>25</t>
  </si>
  <si>
    <t>0.5</t>
  </si>
  <si>
    <t>0.6</t>
  </si>
  <si>
    <t>6</t>
  </si>
  <si>
    <t>3.4</t>
  </si>
  <si>
    <t>four</t>
  </si>
  <si>
    <t>0.</t>
  </si>
  <si>
    <t>from (</t>
  </si>
  <si>
    <t>Equation reference</t>
  </si>
  <si>
    <t>13</t>
  </si>
  <si>
    <t>18</t>
  </si>
  <si>
    <t>a.</t>
  </si>
  <si>
    <t xml:space="preserve">the first </t>
  </si>
  <si>
    <t>0.3</t>
  </si>
  <si>
    <t>0.08</t>
  </si>
  <si>
    <t xml:space="preserve">oact concluded that the hhs rebate rule would increase drug-plan premiums by </t>
  </si>
  <si>
    <t>oact concluded that the hhs rebate rule would increase drug-plan premiums by 25 percent (</t>
  </si>
  <si>
    <t xml:space="preserve">oact concluded that the hhs rebate rule would increase drug-plan premiums by 25 percent (84 fr </t>
  </si>
  <si>
    <t>2358</t>
  </si>
  <si>
    <t>oact concluded that the hhs rebate rule would increase drug-plan premiums by 25 percent (84 fr 2358) and federal part d spending by $</t>
  </si>
  <si>
    <t>19.6</t>
  </si>
  <si>
    <t xml:space="preserve">the latter dominates for the purposes of determining aggregate expenditure on branded drugs (see the first and </t>
  </si>
  <si>
    <t xml:space="preserve"> rows of table 1a), because most of those drugs are beyond the early patent phase where benefit management is increasing profit through added utilization.</t>
  </si>
  <si>
    <t xml:space="preserve">the latter dominates for the purposes of determining aggregate expenditure on branded drugs (see the first and third rows of table </t>
  </si>
  <si>
    <t>a), because most of those drugs are beyond the early patent phase where benefit management is increasing profit through added utilization.</t>
  </si>
  <si>
    <t>QuantitativeProse</t>
  </si>
  <si>
    <t>84 FR 2358</t>
  </si>
  <si>
    <t>Source for quantitative statements in:</t>
  </si>
  <si>
    <t>Page reference</t>
  </si>
  <si>
    <r>
      <t xml:space="preserve">Two aspects of PBM performance are simulated: obtaining </t>
    </r>
    <r>
      <rPr>
        <b/>
        <sz val="12"/>
        <color theme="1"/>
        <rFont val="Times New Roman"/>
        <family val="1"/>
        <scheme val="minor"/>
      </rPr>
      <t>manufacturer rebates and obtaining retail-pharmacy discounts</t>
    </r>
    <r>
      <rPr>
        <sz val="12"/>
        <color theme="1"/>
        <rFont val="Times New Roman"/>
        <family val="2"/>
        <scheme val="minor"/>
      </rPr>
      <t>.</t>
    </r>
  </si>
  <si>
    <t>The simulation is limited to the Part D segment.</t>
  </si>
  <si>
    <t>The simulated effects depend on assumptions ("scenarios") as to the degree to which PBMs can adapt to the regulation and still obtain the discounts that their clients (plans) want.</t>
  </si>
  <si>
    <r>
      <rPr>
        <sz val="12"/>
        <color theme="1"/>
        <rFont val="Times New Roman"/>
        <family val="1"/>
        <scheme val="minor"/>
      </rPr>
      <t xml:space="preserve">Companion to Mulligan (2023b): </t>
    </r>
    <r>
      <rPr>
        <i/>
        <sz val="12"/>
        <color theme="1"/>
        <rFont val="Times New Roman"/>
        <family val="1"/>
        <scheme val="minor"/>
      </rPr>
      <t>Ending Pay for PBM Performance: Consequences for Prescription Drug Prices, Utilization, and Government Spending</t>
    </r>
  </si>
  <si>
    <t>Pgast low</t>
  </si>
  <si>
    <t>Lazear</t>
  </si>
  <si>
    <t>Pharmacy discount rate (all Rx)</t>
  </si>
  <si>
    <t>Table 1a.  Delinking Rules: Effects on Part D Market Performance</t>
  </si>
  <si>
    <t>Table 1b.  Part D Delinking Rules: Regulatory Costs</t>
  </si>
  <si>
    <t>Mfr</t>
  </si>
  <si>
    <t>Combined</t>
  </si>
  <si>
    <r>
      <rPr>
        <u/>
        <sz val="12"/>
        <color theme="1"/>
        <rFont val="Times New Roman (Body)"/>
      </rPr>
      <t>Notes</t>
    </r>
    <r>
      <rPr>
        <sz val="12"/>
        <color theme="1"/>
        <rFont val="Times New Roman"/>
        <family val="2"/>
        <scheme val="minor"/>
      </rPr>
      <t>: Each scenario is based on a different assumption about the extent that pay for PBM performance enhances PBM performance.  Manufacturer rebate rates have gross drug spend as denominator.  The pharmacy discount rate denominator is the list price for retail pharmacy services.</t>
    </r>
  </si>
  <si>
    <t>Low-impact</t>
  </si>
  <si>
    <t>High-impact</t>
  </si>
  <si>
    <t>External costs</t>
  </si>
  <si>
    <r>
      <rPr>
        <u/>
        <sz val="12"/>
        <color theme="1"/>
        <rFont val="Times New Roman (Body)"/>
      </rPr>
      <t>Notes</t>
    </r>
    <r>
      <rPr>
        <sz val="12"/>
        <color theme="1"/>
        <rFont val="Times New Roman"/>
        <family val="2"/>
        <scheme val="minor"/>
      </rPr>
      <t>: Each scenario is based on a different assumption about the extent that pay for PBM performance enhances PBM performance.  Dollar amounts assume annual Part D baseline manufacturer rebates of $31 billion and retail-pharmacy discounts of $9 billion.</t>
    </r>
  </si>
  <si>
    <t>Impact on drug-plan premiums, $ billion per year</t>
  </si>
  <si>
    <r>
      <rPr>
        <u/>
        <sz val="12"/>
        <color theme="1"/>
        <rFont val="Times New Roman (Body)"/>
      </rPr>
      <t>Note</t>
    </r>
    <r>
      <rPr>
        <sz val="12"/>
        <color theme="1"/>
        <rFont val="Times New Roman"/>
        <family val="2"/>
        <scheme val="minor"/>
      </rPr>
      <t>: Dollar amounts assume annual Part D baseline manufacturer rebates of $31 billion and retail-pharmacy discounts of $9 billion.  [a] the denominator is the drug part of Medicare plan premiums.</t>
    </r>
  </si>
  <si>
    <t>Net price impact: entire market</t>
  </si>
  <si>
    <t>Source of premium effect</t>
  </si>
  <si>
    <t>Net drug price effect</t>
  </si>
  <si>
    <t>Part D enrollment, 2020, millions</t>
  </si>
  <si>
    <t>https://www.kff.org/medicare/fact-sheet/an-overview-of-the-medicare-part-d-prescription-drug-benefit/</t>
  </si>
  <si>
    <r>
      <t xml:space="preserve">In Appendix II of Mulligan (2023a), the third part share is denoted </t>
    </r>
    <r>
      <rPr>
        <i/>
        <sz val="12"/>
        <color theme="1"/>
        <rFont val="Times New Roman"/>
        <family val="1"/>
        <scheme val="minor"/>
      </rPr>
      <t>b</t>
    </r>
    <r>
      <rPr>
        <sz val="12"/>
        <color theme="1"/>
        <rFont val="Times New Roman"/>
        <family val="2"/>
        <scheme val="minor"/>
      </rPr>
      <t>.  Entire market has small third-party share due to the high Rx subsidy rates (Medicaid, ACA, etc.)</t>
    </r>
  </si>
  <si>
    <t>Converts percentage change in quantity to all savings (own and third-party) on nonpharmacy medical spending, with the savings expressed as a ratio to net Rx spending.  See Appendix II of Mulligan (2023a).</t>
  </si>
  <si>
    <r>
      <rPr>
        <b/>
        <u/>
        <sz val="12"/>
        <color theme="1"/>
        <rFont val="Times New Roman (Body)"/>
      </rPr>
      <t>Manufacturer Rebate</t>
    </r>
    <r>
      <rPr>
        <b/>
        <sz val="12"/>
        <color theme="1"/>
        <rFont val="Times New Roman"/>
        <family val="1"/>
        <scheme val="minor"/>
      </rPr>
      <t xml:space="preserve"> Simulator, Part D</t>
    </r>
  </si>
  <si>
    <r>
      <rPr>
        <b/>
        <u/>
        <sz val="12"/>
        <color theme="1"/>
        <rFont val="Times New Roman (Body)"/>
      </rPr>
      <t>Pharmacy-discount</t>
    </r>
    <r>
      <rPr>
        <b/>
        <sz val="12"/>
        <color theme="1"/>
        <rFont val="Times New Roman"/>
        <family val="1"/>
        <scheme val="minor"/>
      </rPr>
      <t xml:space="preserve"> Regulation Simulator, Part D</t>
    </r>
  </si>
  <si>
    <t>Simulators by location in the supply chain</t>
  </si>
  <si>
    <t>Pharmacy discounts</t>
  </si>
  <si>
    <t>Manufacturer rebates</t>
  </si>
  <si>
    <t>Annual rebate dollars, billions</t>
  </si>
  <si>
    <t>Baseline pharmacy discounts, $ billions/year</t>
  </si>
  <si>
    <t>[For commercial segment, change Medicare entries to commercial values]</t>
  </si>
  <si>
    <t>Table 2.  Delinking Increases Medicare Premiums</t>
  </si>
  <si>
    <t>annual federal spending on medicare part d premiums would increase $</t>
  </si>
  <si>
    <t xml:space="preserve"> to $10 billion plus any concomitant increase in medicare subsidies for out-of-pocket expenses.</t>
  </si>
  <si>
    <t>annual federal spending on medicare part d premiums would increase $3 to $</t>
  </si>
  <si>
    <t xml:space="preserve"> billion plus any concomitant increase in medicare subsidies for out-of-pocket expenses.</t>
  </si>
  <si>
    <t xml:space="preserve">a rhetorical starting point for much pbm regulation is that the combined market share of </t>
  </si>
  <si>
    <t xml:space="preserve"> large pbms significantly exceeds fifty percent.</t>
  </si>
  <si>
    <t xml:space="preserve">the advantages of pay for performance is </t>
  </si>
  <si>
    <t xml:space="preserve"> of the most cited conclusions in economics, where it is frequently noted that “incentives matter.”</t>
  </si>
  <si>
    <t>1985</t>
  </si>
  <si>
    <t>, reduced competition among manufacturers may increase their list prices, which indirectly increases what patients pay out of pocket for prescriptions.</t>
  </si>
  <si>
    <t xml:space="preserve">in considering the </t>
  </si>
  <si>
    <t xml:space="preserve"> proposed “rebate rule,” medicare’s actuary (oact), the congressional budget office (cbo), and the white house council of economic advisers (cea) each independently concluded that manufacturer rebates in medicare part d reduce federal spending on the program.</t>
  </si>
  <si>
    <t>cbo (</t>
  </si>
  <si>
    <t>) projected the budget effects of section 2 of the bill “modernizing and ensuring pbm accountability act” under consideration by the senate finance committee, which includes various pbm reporting and disclosure requirements as well as a delinking requirement.</t>
  </si>
  <si>
    <t xml:space="preserve">cbo (2023) projected the budget effects of section </t>
  </si>
  <si>
    <t xml:space="preserve"> of the bill “modernizing and ensuring pbm accountability act” under consideration by the senate finance committee, which includes various pbm reporting and disclosure requirements as well as a delinking requirement.</t>
  </si>
  <si>
    <t xml:space="preserve">their combined score shows a minor budget savings, but does not disaggregate the savings among the various provisions in section </t>
  </si>
  <si>
    <t xml:space="preserve">as an alternative to analogizing with rebate and pharmacy-dir regulations, the effects of delinking therefore can be estimated in </t>
  </si>
  <si>
    <t xml:space="preserve"> steps.</t>
  </si>
  <si>
    <t xml:space="preserve">studies across various industries consistently find “strong responses of output to the use of pay-for-performance contracts” as compared to flat-dollar compensation (prendergast 1999, p. </t>
  </si>
  <si>
    <t xml:space="preserve">the smallest magnitude reported by the studies cited by prendergast was a </t>
  </si>
  <si>
    <t xml:space="preserve"> percent increase in productivity from using pay for performance.</t>
  </si>
  <si>
    <t xml:space="preserve">lazear (2000) finds a </t>
  </si>
  <si>
    <t>44</t>
  </si>
  <si>
    <t xml:space="preserve">these estimates suggest that removing pay for performance would reduce productivity </t>
  </si>
  <si>
    <t xml:space="preserve"> to 31 percent.</t>
  </si>
  <si>
    <t xml:space="preserve">these estimates suggest that removing pay for performance would reduce productivity 8 to </t>
  </si>
  <si>
    <t xml:space="preserve">to be clear, the practical alternative to pay for performance is rarely </t>
  </si>
  <si>
    <t xml:space="preserve"> financial incentive.</t>
  </si>
  <si>
    <t xml:space="preserve">this is why i assume that rebates and discounts would continue but at </t>
  </si>
  <si>
    <t>69</t>
  </si>
  <si>
    <t xml:space="preserve"> (high-impact scenario) to 92 percent (low-impact scenario) of what they would be if pay for pbm performance were allowed to continue.</t>
  </si>
  <si>
    <t xml:space="preserve">this is why i assume that rebates and discounts would continue but at 69 (high-impact scenario) to </t>
  </si>
  <si>
    <t xml:space="preserve"> percent (low-impact scenario) of what they would be if pay for pbm performance were allowed to continue.</t>
  </si>
  <si>
    <t xml:space="preserve">that is, the low-impact scenario has an average manufacturer rebate rate of </t>
  </si>
  <si>
    <t>27.5</t>
  </si>
  <si>
    <t xml:space="preserve"> rather than 30.0 percent and a pharmacy discount rate of 27.3 rather than 29.8 percent.</t>
  </si>
  <si>
    <t xml:space="preserve">that is, the low-impact scenario has an average manufacturer rebate rate of 27.5 rather than </t>
  </si>
  <si>
    <t>30.0</t>
  </si>
  <si>
    <t xml:space="preserve"> percent and a pharmacy discount rate of 27.3 rather than 29.8 percent.</t>
  </si>
  <si>
    <t xml:space="preserve">that is, the low-impact scenario has an average manufacturer rebate rate of 27.5 rather than 30.0 percent and a pharmacy discount rate of </t>
  </si>
  <si>
    <t>27.3</t>
  </si>
  <si>
    <t xml:space="preserve"> rather than 29.8 percent.</t>
  </si>
  <si>
    <t xml:space="preserve">that is, the low-impact scenario has an average manufacturer rebate rate of 27.5 rather than 30.0 percent and a pharmacy discount rate of 27.3 rather than </t>
  </si>
  <si>
    <t xml:space="preserve">for the high-impact scenario, the manufacturer and pharmacy rates are </t>
  </si>
  <si>
    <t>20.8</t>
  </si>
  <si>
    <t xml:space="preserve"> and 20.7 percent, respectively.</t>
  </si>
  <si>
    <t xml:space="preserve">for the high-impact scenario, the manufacturer and pharmacy rates are 20.8 and </t>
  </si>
  <si>
    <t>20.7</t>
  </si>
  <si>
    <t xml:space="preserve">these assumptions are reported in the bottom half of table </t>
  </si>
  <si>
    <t xml:space="preserve">if the same productivity percentages reported by prendergast and lazear apply to pay for pbm performance, the mulligan (2023) model projects that drug utilization by medicare beneficiaries would fall between </t>
  </si>
  <si>
    <t>3.1</t>
  </si>
  <si>
    <t xml:space="preserve"> to 10.5 percent for brands and 0.5 to 1.7 percent overall, which would increase nondrug health costs such as hospitalization.</t>
  </si>
  <si>
    <t xml:space="preserve">if the same productivity percentages reported by prendergast and lazear apply to pay for pbm performance, the mulligan (2023) model projects that drug utilization by medicare beneficiaries would fall between 3.1 to </t>
  </si>
  <si>
    <t>10.5</t>
  </si>
  <si>
    <t xml:space="preserve"> percent for brands and 0.5 to 1.7 percent overall, which would increase nondrug health costs such as hospitalization.</t>
  </si>
  <si>
    <t xml:space="preserve">if the same productivity percentages reported by prendergast and lazear apply to pay for pbm performance, the mulligan (2023) model projects that drug utilization by medicare beneficiaries would fall between 3.1 to 10.5 percent for brands and </t>
  </si>
  <si>
    <t xml:space="preserve"> to 1.7 percent overall, which would increase nondrug health costs such as hospitalization.</t>
  </si>
  <si>
    <t xml:space="preserve">if the same productivity percentages reported by prendergast and lazear apply to pay for pbm performance, the mulligan (2023) model projects that drug utilization by medicare beneficiaries would fall between 3.1 to 10.5 percent for brands and 0.5 to </t>
  </si>
  <si>
    <t>1.7</t>
  </si>
  <si>
    <t xml:space="preserve"> percent overall, which would increase nondrug health costs such as hospitalization.</t>
  </si>
  <si>
    <t xml:space="preserve">see the top half of table </t>
  </si>
  <si>
    <t xml:space="preserve">part d net prices would increase between </t>
  </si>
  <si>
    <t>b estimates various costs and benefits that follow from table 1a’s market outcomes.</t>
  </si>
  <si>
    <t xml:space="preserve">table 1b estimates various costs and benefits that follow from table </t>
  </si>
  <si>
    <t>a’s market outcomes.</t>
  </si>
  <si>
    <t>b’s first row shows that surplus aggregated between manufacturers, pharmacies, plans and patients falls between $2 billion and $6 billion.</t>
  </si>
  <si>
    <t>table 1b’s first row shows that surplus aggregated between manufacturers, pharmacies, plans and patients falls between $</t>
  </si>
  <si>
    <t xml:space="preserve"> billion and $6 billion.</t>
  </si>
  <si>
    <t>table 1b’s first row shows that surplus aggregated between manufacturers, pharmacies, plans and patients falls between $2 billion and $</t>
  </si>
  <si>
    <t xml:space="preserve">although brand manufacturers would be producing </t>
  </si>
  <si>
    <t xml:space="preserve"> to 10 percent less, their remaining sales would occur at a 6 to 24 percent greater net price.</t>
  </si>
  <si>
    <t xml:space="preserve">although brand manufacturers would be producing 3 to </t>
  </si>
  <si>
    <t xml:space="preserve"> percent less, their remaining sales would occur at a 6 to 24 percent greater net price.</t>
  </si>
  <si>
    <t xml:space="preserve">although brand manufacturers would be producing 3 to 10 percent less, their remaining sales would occur at a </t>
  </si>
  <si>
    <t xml:space="preserve"> to 24 percent greater net price.</t>
  </si>
  <si>
    <t xml:space="preserve">although brand manufacturers would be producing 3 to 10 percent less, their remaining sales would occur at a 6 to </t>
  </si>
  <si>
    <t xml:space="preserve"> percent greater net price.</t>
  </si>
  <si>
    <t xml:space="preserve">based on the findings of kaestner et al, i estimate that the reduced utilization shown in table </t>
  </si>
  <si>
    <t>a would increase nonpharmaceutical health-plan costs $0.2 billion to $0.6 billion.</t>
  </si>
  <si>
    <t>based on the findings of kaestner et al, i estimate that the reduced utilization shown in table 1a would increase nonpharmaceutical health-plan costs $</t>
  </si>
  <si>
    <t>0.2</t>
  </si>
  <si>
    <t xml:space="preserve"> billion to $0.6 billion.</t>
  </si>
  <si>
    <t>based on the findings of kaestner et al, i estimate that the reduced utilization shown in table 1a would increase nonpharmaceutical health-plan costs $0.2 billion to $</t>
  </si>
  <si>
    <t xml:space="preserve">ending pay for pbm performance thereby has several significant effects on health plan premiums, summarized in table </t>
  </si>
  <si>
    <t xml:space="preserve"> rows reflect the increased drug acquisition costs and pharmacy expenses as manufacturers and pharmacies offer less volume discounts.</t>
  </si>
  <si>
    <t xml:space="preserve">these rows reflect the net price change shown in table </t>
  </si>
  <si>
    <t>a, except that table 1a divides the change by the baseline net price whereas table 2 is expressed in billions of dollars.</t>
  </si>
  <si>
    <t xml:space="preserve">these rows reflect the net price change shown in table 1a, except that table </t>
  </si>
  <si>
    <t>a divides the change by the baseline net price whereas table 2 is expressed in billions of dollars.</t>
  </si>
  <si>
    <t xml:space="preserve">these rows reflect the net price change shown in table 1a, except that table 1a divides the change by the baseline net price whereas table </t>
  </si>
  <si>
    <t xml:space="preserve"> is expressed in billions of dollars.</t>
  </si>
  <si>
    <t xml:space="preserve">partly offsetting the higher net prices is less brand utilization, as shown in the </t>
  </si>
  <si>
    <t xml:space="preserve"> row of table 2.</t>
  </si>
  <si>
    <t xml:space="preserve">partly offsetting the higher net prices is less brand utilization, as shown in the third row of table </t>
  </si>
  <si>
    <t>overall, premiums increase by $</t>
  </si>
  <si>
    <t xml:space="preserve"> billion to $13 billion annually; see the first “combined premium impact” row.</t>
  </si>
  <si>
    <t>overall, premiums increase by $4 billion to $</t>
  </si>
  <si>
    <t xml:space="preserve"> billion annually; see the first “combined premium impact” row.</t>
  </si>
  <si>
    <t>-13 percent increase.</t>
  </si>
  <si>
    <t>expressed as a percentage change in drug-plan premiums from baseline to regulated, that is a 4</t>
  </si>
  <si>
    <t xml:space="preserve">because the federal government finances about </t>
  </si>
  <si>
    <t>-fourths of part d premiums, delinking would increase annual federal government spending $3 to $10 billion plus any concomitant increase in federal subsidies for out-of-pocket expenses.</t>
  </si>
  <si>
    <t>because the federal government finances about three-</t>
  </si>
  <si>
    <t>ths of part d premiums, delinking would increase annual federal government spending $3 to $10 billion plus any concomitant increase in federal subsidies for out-of-pocket expenses.</t>
  </si>
  <si>
    <t>because the federal government finances about three-fourths of part d premiums, delinking would increase annual federal government spending $</t>
  </si>
  <si>
    <t xml:space="preserve"> to $10 billion plus any concomitant increase in federal subsidies for out-of-pocket expenses.</t>
  </si>
  <si>
    <t>because the federal government finances about three-fourths of part d premiums, delinking would increase annual federal government spending $3 to $</t>
  </si>
  <si>
    <t xml:space="preserve"> billion plus any concomitant increase in federal subsidies for out-of-pocket expenses.</t>
  </si>
  <si>
    <t xml:space="preserve">this external cost of delinking regulation is shown in the “tax distortion” row of table </t>
  </si>
  <si>
    <t xml:space="preserve">by reducing the incentives of plans and pbms to encourage adherence and proper drug utilization, delinking has </t>
  </si>
  <si>
    <t>i estimate that the social cost of this reduced innovation is $</t>
  </si>
  <si>
    <t xml:space="preserve"> billion to $1.7 billion annually, as shown in the table 1b’s “foregone drug innovation” row.</t>
  </si>
  <si>
    <t>i estimate that the social cost of this reduced innovation is $0.5 billion to $</t>
  </si>
  <si>
    <t xml:space="preserve"> billion annually, as shown in the table 1b’s “foregone drug innovation” row.</t>
  </si>
  <si>
    <t xml:space="preserve">i estimate that the social cost of this reduced innovation is $0.5 billion to $1.7 billion annually, as shown in the table </t>
  </si>
  <si>
    <t>the net cost of ending pay for pbm performance would be $</t>
  </si>
  <si>
    <t xml:space="preserve"> billion to $13 billion (final row of table 1b), reflecting the fact that patients and plans lose more than manufacturers and pharmacies benefit.</t>
  </si>
  <si>
    <t xml:space="preserve"> billion (final row of table 1b), reflecting the fact that patients and plans lose more than manufacturers and pharmacies benefit.</t>
  </si>
  <si>
    <t xml:space="preserve">the net cost of ending pay for pbm performance would be $4 billion to $13 billion (final row of table </t>
  </si>
  <si>
    <t>b), reflecting the fact that patients and plans lose more than manufacturers and pharmacies benefit.</t>
  </si>
  <si>
    <t xml:space="preserve">a rhetorical starting point for much pbm regulation is that the combined market share of the </t>
  </si>
  <si>
    <t xml:space="preserve"> largest pbms significantly exceeds fifty percent.</t>
  </si>
  <si>
    <t xml:space="preserve">this is why table </t>
  </si>
  <si>
    <t>b predicts that drug manufacturers would profit from delinking while proper drug utilization would be reduced.</t>
  </si>
  <si>
    <t>b predicts that retail pharmacies would profit from delinking while proper drug utilization would be reduced.</t>
  </si>
  <si>
    <t>b’s low-impact scenario shows a $0.3 billion annual benefit for pharmacy companies (many of which are chain pharmacies rather than independent pharmacies) at an aggregate net cost of $3.4 billion.</t>
  </si>
  <si>
    <t>table 1b’s low-impact scenario shows a $</t>
  </si>
  <si>
    <t xml:space="preserve"> billion annual benefit for pharmacy companies (many of which are chain pharmacies rather than independent pharmacies) at an aggregate net cost of $3.4 billion.</t>
  </si>
  <si>
    <t>table 1b’s low-impact scenario shows a $0.3 billion annual benefit for pharmacy companies (many of which are chain pharmacies rather than independent pharmacies) at an aggregate net cost of $</t>
  </si>
  <si>
    <t>that is, each $</t>
  </si>
  <si>
    <t xml:space="preserve"> redistributed to independent pharmacies through delinking costs plans, patients, and others $12.</t>
  </si>
  <si>
    <t>that is, each $1 redistributed to independent pharmacies through delinking costs plans, patients, and others $</t>
  </si>
  <si>
    <t xml:space="preserve"> illustrates the joint value of manufacturer-rebate transactions as the area under the consumer (i.e., patient) demand curve between q0 – the quantity that would be purchased without rebates – and q1, which is the quantity expected to result from the favorable plan placement.</t>
  </si>
  <si>
    <t>figure 1 illustrates the joint value of manufacturer-rebate transactions as the area under the consumer (i.e., patient) demand curve between q</t>
  </si>
  <si>
    <t xml:space="preserve"> – the quantity that would be purchased without rebates – and q1, which is the quantity expected to result from the favorable plan placement.</t>
  </si>
  <si>
    <t>figure 1 illustrates the joint value of manufacturer-rebate transactions as the area under the consumer (i.e., patient) demand curve between q0 – the quantity that would be purchased without rebates – and q</t>
  </si>
  <si>
    <t>, which is the quantity expected to result from the favorable plan placement.</t>
  </si>
  <si>
    <t>rather than trading at list price, manufacturer and potential consumers could mutually agree to trade units beyond q</t>
  </si>
  <si>
    <t xml:space="preserve"> at net prices less than list.</t>
  </si>
  <si>
    <t xml:space="preserve">the marginal cost of producing, delivering, and administering the drug are shown as a horizontal dashed line in figure </t>
  </si>
  <si>
    <t>the marginal contract compliance costs, which rise with the gap between list price and marginal price (equivalently, with the gap between quantity and q</t>
  </si>
  <si>
    <t>), are in addition to those costs.</t>
  </si>
  <si>
    <t xml:space="preserve"> shows the total marginal costs as a linear blue curve.</t>
  </si>
  <si>
    <t xml:space="preserve">these are movements down figure </t>
  </si>
  <si>
    <t>’s demand curve away from q0.</t>
  </si>
  <si>
    <t>these are movements down figure 1’s demand curve away from q</t>
  </si>
  <si>
    <t>, whose algebraic representation is provided in appendix i of mulligan (2023), is the core of the regulatory-impact model.</t>
  </si>
  <si>
    <t xml:space="preserve">additional outcomes are assessed by combining figure </t>
  </si>
  <si>
    <t>) we find the plan’s marginal cost m of utilization by differentiating net drug spending with respect to q:</t>
  </si>
  <si>
    <t>as shown by the r(q)lq term in equation (</t>
  </si>
  <si>
    <t>), the marginal rebate is worth less at lower list prices.</t>
  </si>
  <si>
    <t xml:space="preserve">at best, these </t>
  </si>
  <si>
    <t xml:space="preserve"> effects of reallocating the marginal price along the supply change cancel.</t>
  </si>
  <si>
    <t xml:space="preserve"> study finds a positive correlation between rebates and list prices, interpreted as a causal effect of negotiated rebates on list prices (sood, et al 2020).</t>
  </si>
  <si>
    <t xml:space="preserve">indeed, a </t>
  </si>
  <si>
    <t>-for-one reaction to list prices is commonly built into pbm contracts as a “price protection provision” (burns 2022, pp. 387, 404), whose payments are considered manufacturer rebates by medicare part d (polakowski, johnson and wanta 2017).</t>
  </si>
  <si>
    <t>indeed, a one-for-</t>
  </si>
  <si>
    <t xml:space="preserve"> reaction to list prices is commonly built into pbm contracts as a “price protection provision” (burns 2022, pp. 387, 404), whose payments are considered manufacturer rebates by medicare part d (polakowski, johnson and wanta 2017).</t>
  </si>
  <si>
    <t xml:space="preserve">indeed, a one-for-one reaction to list prices is commonly built into pbm contracts as a “price protection provision” (burns </t>
  </si>
  <si>
    <t>, pp. 387, 404), whose payments are considered manufacturer rebates by medicare part d (polakowski, johnson and wanta 2017).</t>
  </si>
  <si>
    <t xml:space="preserve">indeed, a one-for-one reaction to list prices is commonly built into pbm contracts as a “price protection provision” (burns 2022, pp. </t>
  </si>
  <si>
    <t>387</t>
  </si>
  <si>
    <t>, 404), whose payments are considered manufacturer rebates by medicare part d (polakowski, johnson and wanta 2017).</t>
  </si>
  <si>
    <t xml:space="preserve">indeed, a one-for-one reaction to list prices is commonly built into pbm contracts as a “price protection provision” (burns 2022, pp. 387, </t>
  </si>
  <si>
    <t>404</t>
  </si>
  <si>
    <t>), whose payments are considered manufacturer rebates by medicare part d (polakowski, johnson and wanta 2017).</t>
  </si>
  <si>
    <t xml:space="preserve"> percent (84 fr 2358) and federal part d spending by $19.6 billion per year, largely by increasing net prices.</t>
  </si>
  <si>
    <t xml:space="preserve"> fr 2358) and federal part d spending by $19.6 billion per year, largely by increasing net prices.</t>
  </si>
  <si>
    <t>) and federal part d spending by $19.6 billion per year, largely by increasing net prices.</t>
  </si>
  <si>
    <t xml:space="preserve"> billion per year, largely by increasing net prices.</t>
  </si>
  <si>
    <t>cbo estimated average annual federal savings is less than $</t>
  </si>
  <si>
    <t xml:space="preserve"> million, which is two orders of magnitude less than the amount of negotiated manufacturer rebates and pharmacy discounts in medicare part d.  that is, if eliminating pbm performance reduced rebates and discounts by even one percent, that would exceed the budget effects cited in cbo (2023).</t>
  </si>
  <si>
    <t xml:space="preserve">cbo estimated average annual federal savings is less than $100 million, which is </t>
  </si>
  <si>
    <t xml:space="preserve"> orders of magnitude less than the amount of negotiated manufacturer rebates and pharmacy discounts in medicare part d.  that is, if eliminating pbm performance reduced rebates and discounts by even one percent, that would exceed the budget effects cited in cbo (2023).</t>
  </si>
  <si>
    <t xml:space="preserve">cbo estimated average annual federal savings is less than $100 million, which is two orders of magnitude less than the amount of negotiated manufacturer rebates and pharmacy discounts in medicare part d.  that is, if eliminating pbm performance reduced rebates and discounts by even </t>
  </si>
  <si>
    <t xml:space="preserve"> percent, that would exceed the budget effects cited in cbo (2023).</t>
  </si>
  <si>
    <t xml:space="preserve"> 0.08 = 1/1.09 and 1 0.31 = 1/1.44.</t>
  </si>
  <si>
    <t xml:space="preserve">1 </t>
  </si>
  <si>
    <t xml:space="preserve"> = 1/1.09 and 1 0.31 = 1/1.44.</t>
  </si>
  <si>
    <t xml:space="preserve">1 0.08 = </t>
  </si>
  <si>
    <t>/1.09 and 1 0.31 = 1/1.44.</t>
  </si>
  <si>
    <t>1 0.08 = 1/</t>
  </si>
  <si>
    <t>1.09</t>
  </si>
  <si>
    <t xml:space="preserve"> and 1 0.31 = 1/1.44.</t>
  </si>
  <si>
    <t xml:space="preserve">1 0.08 = 1/1.09 and </t>
  </si>
  <si>
    <t xml:space="preserve"> 0.31 = 1/1.44.</t>
  </si>
  <si>
    <t xml:space="preserve">1 0.08 = 1/1.09 and 1 </t>
  </si>
  <si>
    <t>0.31</t>
  </si>
  <si>
    <t xml:space="preserve"> = 1/1.44.</t>
  </si>
  <si>
    <t xml:space="preserve">1 0.08 = 1/1.09 and 1 0.31 = </t>
  </si>
  <si>
    <t>/1.44.</t>
  </si>
  <si>
    <t>1 0.08 = 1/1.09 and 1 0.31 = 1/</t>
  </si>
  <si>
    <t>1.44</t>
  </si>
  <si>
    <t>as williamson (</t>
  </si>
  <si>
    <t>, p. 146) puts it, “the compensations of salaried managers and other employees who work for wages [instead of piece rates] are ostensibly disconnected from performance.</t>
  </si>
  <si>
    <t xml:space="preserve">as williamson (1985, p. </t>
  </si>
  <si>
    <t>146</t>
  </si>
  <si>
    <t>) puts it, “the compensations of salaried managers and other employees who work for wages [instead of piece rates] are ostensibly disconnected from performance.</t>
  </si>
  <si>
    <t xml:space="preserve">prendergast and lazear explain that pay for performance increases productivity on both intensive margins (more effort by those receiving the pay) and extensive margin (pay tied to productivity attracts more productive employees), with the </t>
  </si>
  <si>
    <t xml:space="preserve"> to 44 percent estimates reflecting the combination of both margins.</t>
  </si>
  <si>
    <t xml:space="preserve">prendergast and lazear explain that pay for performance increases productivity on both intensive margins (more effort by those receiving the pay) and extensive margin (pay tied to productivity attracts more productive employees), with the 9 to </t>
  </si>
  <si>
    <t xml:space="preserve"> percent estimates reflecting the combination of both margins.</t>
  </si>
  <si>
    <t>-24 percent is the manufacturer part of table 1a’s third row, which also includes effects of delinking pbm remuneration from pharmacy discounts.</t>
  </si>
  <si>
    <t>the 6</t>
  </si>
  <si>
    <t>-24</t>
  </si>
  <si>
    <t xml:space="preserve"> percent is the manufacturer part of table 1a’s third row, which also includes effects of delinking pbm remuneration from pharmacy discounts.</t>
  </si>
  <si>
    <t xml:space="preserve">the 6-24 percent is the manufacturer part of table </t>
  </si>
  <si>
    <t>a’s third row, which also includes effects of delinking pbm remuneration from pharmacy discounts.</t>
  </si>
  <si>
    <t xml:space="preserve">the 6-24 percent is the manufacturer part of table 1a’s </t>
  </si>
  <si>
    <t xml:space="preserve"> row, which also includes effects of delinking pbm remuneration from pharmacy discounts.</t>
  </si>
  <si>
    <t xml:space="preserve">as previously noted, my estimate of the budgetary effect of delinking is of a different order of magnitude than cbo’s score of section </t>
  </si>
  <si>
    <t xml:space="preserve"> of “modernizing and ensuring pbm accountability act,” which includes a delinking requirement.</t>
  </si>
  <si>
    <t>Prendergast (1999, p. 8)</t>
  </si>
  <si>
    <t>Lazear (2000)</t>
  </si>
  <si>
    <t>Reduction that would require 9% increase to get back to baseline</t>
  </si>
  <si>
    <t xml:space="preserve">part d net prices would increase between 5 and </t>
  </si>
  <si>
    <t xml:space="preserve"> and 18 percent.</t>
  </si>
  <si>
    <r>
      <t xml:space="preserve">Mulligan (2023b): </t>
    </r>
    <r>
      <rPr>
        <i/>
        <sz val="12"/>
        <color rgb="FF000000"/>
        <rFont val="Times New Roman"/>
        <family val="1"/>
        <scheme val="minor"/>
      </rPr>
      <t>Ending Pay for PBM Performance: Consequences for Prescription Drug Prices, Utilization, and Government Spending</t>
    </r>
  </si>
  <si>
    <t>the net cost of ending pay for pbm performance would be $3 billion to $</t>
  </si>
  <si>
    <t>https://www.cbo.gov/system/files/2023-07/59419_PBM_DiscDraft_.pdf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</si>
</sst>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164" formatCode="0.0%"/>
    <numFmt numFmtId="165" formatCode="0.000"/>
    <numFmt numFmtId="166" formatCode="0.0"/>
    <numFmt numFmtId="167" formatCode="0.0000"/>
  </numFmts>
  <fonts count="32" x14ac:knownFonts="1">
    <font>
      <sz val="12"/>
      <color theme="1"/>
      <name val="Times New Roman"/>
      <family val="2"/>
      <scheme val="minor"/>
    </font>
    <font>
      <sz val="12"/>
      <color rgb="FF3F3F76"/>
      <name val="Times New Roman"/>
      <family val="2"/>
      <scheme val="minor"/>
    </font>
    <font>
      <sz val="12"/>
      <color theme="1"/>
      <name val="Times New Roman"/>
      <family val="2"/>
      <scheme val="minor"/>
    </font>
    <font>
      <sz val="12"/>
      <color theme="3" tint="0.39997558519241921"/>
      <name val="Times New Roman"/>
      <family val="2"/>
      <scheme val="minor"/>
    </font>
    <font>
      <sz val="12"/>
      <color rgb="FFFF0000"/>
      <name val="Times New Roman"/>
      <family val="1"/>
      <scheme val="minor"/>
    </font>
    <font>
      <i/>
      <sz val="12"/>
      <color theme="1"/>
      <name val="Times New Roman"/>
      <family val="1"/>
      <scheme val="minor"/>
    </font>
    <font>
      <b/>
      <sz val="12"/>
      <color theme="1"/>
      <name val="Times New Roman"/>
      <family val="1"/>
      <scheme val="minor"/>
    </font>
    <font>
      <i/>
      <sz val="12"/>
      <color rgb="FF0432FF"/>
      <name val="Times New Roman"/>
      <family val="1"/>
      <scheme val="minor"/>
    </font>
    <font>
      <sz val="12"/>
      <color rgb="FF0432FF"/>
      <name val="Times New Roman"/>
      <family val="1"/>
      <scheme val="minor"/>
    </font>
    <font>
      <i/>
      <sz val="12"/>
      <color rgb="FF00B050"/>
      <name val="Times New Roman"/>
      <family val="1"/>
      <scheme val="minor"/>
    </font>
    <font>
      <sz val="12"/>
      <color rgb="FF00B050"/>
      <name val="Times New Roman"/>
      <family val="1"/>
      <scheme val="minor"/>
    </font>
    <font>
      <i/>
      <sz val="12"/>
      <color rgb="FF7030A0"/>
      <name val="Times New Roman"/>
      <family val="1"/>
      <scheme val="minor"/>
    </font>
    <font>
      <sz val="12"/>
      <color rgb="FF7030A0"/>
      <name val="Times New Roman"/>
      <family val="1"/>
      <scheme val="minor"/>
    </font>
    <font>
      <sz val="12"/>
      <color theme="9" tint="-0.249977111117893"/>
      <name val="Times New Roman"/>
      <family val="2"/>
      <scheme val="minor"/>
    </font>
    <font>
      <sz val="12"/>
      <color theme="1"/>
      <name val="Times New Roman"/>
      <family val="1"/>
      <scheme val="minor"/>
    </font>
    <font>
      <i/>
      <sz val="12"/>
      <color theme="9" tint="-0.249977111117893"/>
      <name val="Times New Roman"/>
      <family val="1"/>
      <scheme val="minor"/>
    </font>
    <font>
      <sz val="12"/>
      <color theme="9" tint="-0.249977111117893"/>
      <name val="Times New Roman"/>
      <family val="1"/>
      <scheme val="minor"/>
    </font>
    <font>
      <sz val="12"/>
      <color rgb="FF7030A0"/>
      <name val="Times New Roman"/>
      <family val="2"/>
      <scheme val="minor"/>
    </font>
    <font>
      <sz val="12"/>
      <color rgb="FF00B050"/>
      <name val="Times New Roman"/>
      <family val="2"/>
      <scheme val="minor"/>
    </font>
    <font>
      <i/>
      <sz val="12"/>
      <name val="Times New Roman"/>
      <family val="1"/>
      <scheme val="minor"/>
    </font>
    <font>
      <sz val="12"/>
      <name val="Times New Roman"/>
      <family val="1"/>
      <scheme val="minor"/>
    </font>
    <font>
      <sz val="12"/>
      <name val="Times New Roman"/>
      <family val="2"/>
      <scheme val="minor"/>
    </font>
    <font>
      <u/>
      <sz val="12"/>
      <color theme="10"/>
      <name val="Times New Roman"/>
      <family val="2"/>
      <scheme val="minor"/>
    </font>
    <font>
      <b/>
      <u/>
      <sz val="12"/>
      <color theme="1"/>
      <name val="Times New Roman (Body)"/>
    </font>
    <font>
      <u/>
      <sz val="12"/>
      <color theme="1"/>
      <name val="Times New Roman (Body)"/>
    </font>
    <font>
      <sz val="12"/>
      <color indexed="8"/>
      <name val="Times New Roman"/>
      <family val="1"/>
      <scheme val="minor"/>
    </font>
    <font>
      <sz val="12"/>
      <color rgb="FF000000"/>
      <name val="Times New Roman"/>
      <family val="2"/>
      <scheme val="minor"/>
    </font>
    <font>
      <sz val="11"/>
      <color indexed="8"/>
      <name val="Times New Roman"/>
      <family val="2"/>
      <scheme val="minor"/>
    </font>
    <font>
      <sz val="12"/>
      <color indexed="8"/>
      <name val="Times New Roman"/>
      <family val="2"/>
      <scheme val="minor"/>
    </font>
    <font>
      <i/>
      <sz val="12"/>
      <color rgb="FF000000"/>
      <name val="Times New Roman"/>
      <family val="1"/>
      <scheme val="minor"/>
    </font>
    <font>
      <sz val="12"/>
      <color rgb="FF0432FF"/>
      <name val="Times New Roman"/>
      <family val="2"/>
      <scheme val="minor"/>
    </font>
    <font>
      <sz val="11"/>
      <color rgb="FF0432FF"/>
      <name val="Times New Roman"/>
      <family val="2"/>
      <scheme val="minor"/>
    </font>
  </fonts>
  <fills count="5">
    <fill>
      <patternFill patternType="none"/>
    </fill>
    <fill>
      <patternFill patternType="gray125"/>
    </fill>
    <fill>
      <patternFill patternType="solid">
        <fgColor rgb="FFFFCC99"/>
      </patternFill>
    </fill>
    <fill>
      <patternFill patternType="solid">
        <fgColor theme="5" tint="0.79998168889431442"/>
        <bgColor indexed="64"/>
      </patternFill>
    </fill>
    <fill>
      <patternFill patternType="solid">
        <fgColor theme="8" tint="0.79998168889431442"/>
        <bgColor indexed="64"/>
      </patternFill>
    </fill>
  </fills>
  <borders count="8">
    <border>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rgb="FF7F7F7F"/>
      </left>
      <right style="thin">
        <color rgb="FF7F7F7F"/>
      </right>
      <top/>
      <bottom style="thin">
        <color rgb="FF7F7F7F"/>
      </bottom>
      <diagonal/>
    </border>
    <border>
      <left style="thin">
        <color rgb="FF7F7F7F"/>
      </left>
      <right/>
      <top/>
      <bottom/>
      <diagonal/>
    </border>
    <border>
      <left style="thin">
        <color rgb="FF7F7F7F"/>
      </left>
      <right style="thin">
        <color rgb="FF7F7F7F"/>
      </right>
      <top style="thin">
        <color rgb="FF7F7F7F"/>
      </top>
      <bottom style="thin">
        <color indexed="64"/>
      </bottom>
      <diagonal/>
    </border>
    <border>
      <left/>
      <right/>
      <top style="thin">
        <color rgb="FF7F7F7F"/>
      </top>
      <bottom style="thin">
        <color rgb="FF7F7F7F"/>
      </bottom>
      <diagonal/>
    </border>
    <border>
      <left/>
      <right/>
      <top style="thin">
        <color indexed="64"/>
      </top>
      <bottom/>
      <diagonal/>
    </border>
  </borders>
  <cellStyleXfs count="6">
    <xf numFmtId="0" fontId="0" fillId="0" borderId="0"/>
    <xf numFmtId="0" fontId="1" fillId="2" borderId="1" applyNumberFormat="0" applyAlignment="0" applyProtection="0"/>
    <xf numFmtId="9" fontId="2" fillId="0" borderId="0" applyFont="0" applyFill="0" applyBorder="0" applyAlignment="0" applyProtection="0"/>
    <xf numFmtId="0" fontId="22" fillId="0" borderId="0" applyNumberFormat="0" applyFill="0" applyBorder="0" applyAlignment="0" applyProtection="0"/>
    <xf numFmtId="0" fontId="2" fillId="0" borderId="0"/>
    <xf numFmtId="0" fontId="27" fillId="0" borderId="0"/>
  </cellStyleXfs>
  <cellXfs count="189">
    <xf numFmtId="0" fontId="0" fillId="0" borderId="0" xfId="0"/>
    <xf numFmtId="0" fontId="1" fillId="2" borderId="1" xfId="1"/>
    <xf numFmtId="0" fontId="0" fillId="0" borderId="0" xfId="0" applyAlignment="1">
      <alignment horizontal="right"/>
    </xf>
    <xf numFmtId="9" fontId="0" fillId="0" borderId="0" xfId="2" applyFont="1"/>
    <xf numFmtId="0" fontId="1" fillId="2" borderId="3" xfId="1" applyBorder="1"/>
    <xf numFmtId="0" fontId="0" fillId="0" borderId="2" xfId="0" applyBorder="1"/>
    <xf numFmtId="0" fontId="0" fillId="0" borderId="2" xfId="0" applyBorder="1" applyAlignment="1">
      <alignment horizontal="right"/>
    </xf>
    <xf numFmtId="9" fontId="0" fillId="0" borderId="0" xfId="0" applyNumberFormat="1"/>
    <xf numFmtId="164" fontId="0" fillId="0" borderId="0" xfId="2" applyNumberFormat="1" applyFont="1"/>
    <xf numFmtId="9" fontId="1" fillId="2" borderId="1" xfId="1" applyNumberFormat="1"/>
    <xf numFmtId="0" fontId="3" fillId="0" borderId="0" xfId="0" applyFont="1" applyAlignment="1">
      <alignment horizontal="right"/>
    </xf>
    <xf numFmtId="0" fontId="3" fillId="0" borderId="0" xfId="0" applyFont="1"/>
    <xf numFmtId="165" fontId="0" fillId="0" borderId="0" xfId="0" applyNumberFormat="1"/>
    <xf numFmtId="164" fontId="1" fillId="2" borderId="1" xfId="1" applyNumberFormat="1"/>
    <xf numFmtId="0" fontId="0" fillId="0" borderId="0" xfId="0" applyAlignment="1">
      <alignment horizontal="left" indent="1"/>
    </xf>
    <xf numFmtId="0" fontId="5" fillId="0" borderId="0" xfId="0" applyFont="1"/>
    <xf numFmtId="0" fontId="1" fillId="2" borderId="1" xfId="1" applyAlignment="1">
      <alignment horizontal="right"/>
    </xf>
    <xf numFmtId="0" fontId="6" fillId="0" borderId="0" xfId="0" applyFont="1"/>
    <xf numFmtId="0" fontId="5" fillId="0" borderId="0" xfId="0" applyFont="1" applyAlignment="1">
      <alignment horizontal="left"/>
    </xf>
    <xf numFmtId="0" fontId="0" fillId="0" borderId="0" xfId="0" quotePrefix="1"/>
    <xf numFmtId="0" fontId="7" fillId="0" borderId="0" xfId="0" applyFont="1" applyAlignment="1">
      <alignment horizontal="left"/>
    </xf>
    <xf numFmtId="0" fontId="8" fillId="0" borderId="0" xfId="0" applyFont="1"/>
    <xf numFmtId="0" fontId="8" fillId="0" borderId="0" xfId="0" applyFont="1" applyAlignment="1">
      <alignment horizontal="right"/>
    </xf>
    <xf numFmtId="165" fontId="8" fillId="0" borderId="0" xfId="0" applyNumberFormat="1" applyFont="1"/>
    <xf numFmtId="9" fontId="8" fillId="0" borderId="0" xfId="2" applyFont="1"/>
    <xf numFmtId="164" fontId="8" fillId="0" borderId="0" xfId="2" applyNumberFormat="1" applyFont="1"/>
    <xf numFmtId="0" fontId="9" fillId="0" borderId="0" xfId="0" applyFont="1" applyAlignment="1">
      <alignment horizontal="right"/>
    </xf>
    <xf numFmtId="165" fontId="10" fillId="0" borderId="0" xfId="0" applyNumberFormat="1" applyFont="1"/>
    <xf numFmtId="0" fontId="10" fillId="0" borderId="0" xfId="0" applyFont="1"/>
    <xf numFmtId="9" fontId="10" fillId="0" borderId="0" xfId="2" applyFont="1"/>
    <xf numFmtId="164" fontId="10" fillId="0" borderId="0" xfId="2" applyNumberFormat="1" applyFont="1"/>
    <xf numFmtId="0" fontId="11" fillId="0" borderId="0" xfId="0" applyFont="1" applyAlignment="1">
      <alignment horizontal="right"/>
    </xf>
    <xf numFmtId="165" fontId="12" fillId="0" borderId="0" xfId="0" applyNumberFormat="1" applyFont="1"/>
    <xf numFmtId="0" fontId="12" fillId="0" borderId="0" xfId="0" applyFont="1"/>
    <xf numFmtId="9" fontId="12" fillId="0" borderId="0" xfId="2" applyFont="1"/>
    <xf numFmtId="164" fontId="12" fillId="0" borderId="0" xfId="2" applyNumberFormat="1" applyFont="1"/>
    <xf numFmtId="0" fontId="0" fillId="0" borderId="2" xfId="0" applyBorder="1" applyAlignment="1">
      <alignment wrapText="1"/>
    </xf>
    <xf numFmtId="0" fontId="0" fillId="0" borderId="0" xfId="0" quotePrefix="1" applyAlignment="1">
      <alignment horizontal="left" indent="1"/>
    </xf>
    <xf numFmtId="2" fontId="0" fillId="0" borderId="0" xfId="0" applyNumberFormat="1"/>
    <xf numFmtId="166" fontId="0" fillId="0" borderId="0" xfId="0" applyNumberFormat="1"/>
    <xf numFmtId="166" fontId="0" fillId="0" borderId="2" xfId="0" applyNumberFormat="1" applyBorder="1"/>
    <xf numFmtId="0" fontId="0" fillId="0" borderId="2" xfId="0" applyBorder="1" applyAlignment="1">
      <alignment horizontal="left"/>
    </xf>
    <xf numFmtId="166" fontId="1" fillId="2" borderId="1" xfId="1" applyNumberFormat="1"/>
    <xf numFmtId="0" fontId="1" fillId="2" borderId="5" xfId="1" applyBorder="1"/>
    <xf numFmtId="165" fontId="1" fillId="2" borderId="1" xfId="1" applyNumberFormat="1"/>
    <xf numFmtId="165" fontId="0" fillId="0" borderId="2" xfId="0" applyNumberFormat="1" applyBorder="1"/>
    <xf numFmtId="9" fontId="1" fillId="2" borderId="1" xfId="2" applyFont="1" applyFill="1" applyBorder="1"/>
    <xf numFmtId="0" fontId="13" fillId="0" borderId="0" xfId="0" applyFont="1" applyAlignment="1">
      <alignment horizontal="right"/>
    </xf>
    <xf numFmtId="0" fontId="13" fillId="0" borderId="0" xfId="0" applyFont="1"/>
    <xf numFmtId="164" fontId="13" fillId="0" borderId="0" xfId="2" applyNumberFormat="1" applyFont="1"/>
    <xf numFmtId="9" fontId="13" fillId="0" borderId="0" xfId="2" applyFont="1"/>
    <xf numFmtId="0" fontId="5" fillId="0" borderId="0" xfId="0" applyFont="1" applyAlignment="1">
      <alignment horizontal="right"/>
    </xf>
    <xf numFmtId="0" fontId="14" fillId="0" borderId="0" xfId="0" applyFont="1" applyAlignment="1">
      <alignment horizontal="right"/>
    </xf>
    <xf numFmtId="0" fontId="12" fillId="0" borderId="0" xfId="0" applyFont="1" applyAlignment="1">
      <alignment horizontal="right"/>
    </xf>
    <xf numFmtId="0" fontId="15" fillId="0" borderId="0" xfId="0" applyFont="1" applyAlignment="1">
      <alignment horizontal="right"/>
    </xf>
    <xf numFmtId="164" fontId="12" fillId="0" borderId="0" xfId="2" applyNumberFormat="1" applyFont="1" applyFill="1"/>
    <xf numFmtId="2" fontId="1" fillId="2" borderId="1" xfId="2" applyNumberFormat="1" applyFont="1" applyFill="1" applyBorder="1"/>
    <xf numFmtId="9" fontId="12" fillId="0" borderId="0" xfId="2" applyFont="1" applyFill="1"/>
    <xf numFmtId="0" fontId="1" fillId="2" borderId="1" xfId="2" applyNumberFormat="1" applyFont="1" applyFill="1" applyBorder="1"/>
    <xf numFmtId="0" fontId="15" fillId="0" borderId="0" xfId="0" applyFont="1"/>
    <xf numFmtId="0" fontId="16" fillId="0" borderId="0" xfId="0" applyFont="1"/>
    <xf numFmtId="0" fontId="16" fillId="0" borderId="0" xfId="0" applyFont="1" applyAlignment="1">
      <alignment wrapText="1"/>
    </xf>
    <xf numFmtId="0" fontId="13" fillId="0" borderId="0" xfId="0" quotePrefix="1" applyFont="1"/>
    <xf numFmtId="0" fontId="11" fillId="0" borderId="0" xfId="0" applyFont="1"/>
    <xf numFmtId="0" fontId="12" fillId="0" borderId="0" xfId="0" applyFont="1" applyAlignment="1">
      <alignment wrapText="1"/>
    </xf>
    <xf numFmtId="0" fontId="12" fillId="0" borderId="0" xfId="0" applyFont="1" applyAlignment="1">
      <alignment horizontal="left" wrapText="1" indent="1"/>
    </xf>
    <xf numFmtId="0" fontId="12" fillId="0" borderId="0" xfId="0" applyFont="1" applyAlignment="1">
      <alignment horizontal="left" indent="1"/>
    </xf>
    <xf numFmtId="0" fontId="17" fillId="0" borderId="0" xfId="0" applyFont="1"/>
    <xf numFmtId="0" fontId="17" fillId="0" borderId="0" xfId="0" quotePrefix="1" applyFont="1"/>
    <xf numFmtId="166" fontId="17" fillId="0" borderId="0" xfId="0" applyNumberFormat="1" applyFont="1"/>
    <xf numFmtId="0" fontId="12" fillId="0" borderId="0" xfId="0" applyFont="1" applyAlignment="1">
      <alignment horizontal="left"/>
    </xf>
    <xf numFmtId="0" fontId="16" fillId="0" borderId="0" xfId="0" applyFont="1" applyAlignment="1">
      <alignment horizontal="right"/>
    </xf>
    <xf numFmtId="165" fontId="16" fillId="0" borderId="0" xfId="0" applyNumberFormat="1" applyFont="1"/>
    <xf numFmtId="9" fontId="16" fillId="0" borderId="0" xfId="2" applyFont="1"/>
    <xf numFmtId="164" fontId="16" fillId="0" borderId="0" xfId="2" applyNumberFormat="1" applyFont="1"/>
    <xf numFmtId="2" fontId="17" fillId="0" borderId="0" xfId="0" applyNumberFormat="1" applyFont="1"/>
    <xf numFmtId="2" fontId="1" fillId="2" borderId="1" xfId="1" applyNumberFormat="1"/>
    <xf numFmtId="0" fontId="0" fillId="0" borderId="0" xfId="0" applyAlignment="1">
      <alignment horizontal="left"/>
    </xf>
    <xf numFmtId="9" fontId="8" fillId="0" borderId="0" xfId="2" applyFont="1" applyFill="1"/>
    <xf numFmtId="9" fontId="0" fillId="0" borderId="0" xfId="2" applyFont="1" applyFill="1"/>
    <xf numFmtId="0" fontId="10" fillId="0" borderId="0" xfId="0" applyFont="1" applyAlignment="1">
      <alignment horizontal="right"/>
    </xf>
    <xf numFmtId="9" fontId="10" fillId="0" borderId="0" xfId="2" applyFont="1" applyFill="1"/>
    <xf numFmtId="0" fontId="18" fillId="0" borderId="0" xfId="0" applyFont="1" applyAlignment="1">
      <alignment horizontal="right"/>
    </xf>
    <xf numFmtId="165" fontId="18" fillId="0" borderId="0" xfId="0" applyNumberFormat="1" applyFont="1"/>
    <xf numFmtId="0" fontId="18" fillId="0" borderId="0" xfId="0" applyFont="1"/>
    <xf numFmtId="9" fontId="18" fillId="0" borderId="0" xfId="2" applyFont="1" applyFill="1"/>
    <xf numFmtId="0" fontId="9" fillId="0" borderId="0" xfId="0" applyFont="1" applyAlignment="1">
      <alignment horizontal="left"/>
    </xf>
    <xf numFmtId="0" fontId="19" fillId="0" borderId="0" xfId="0" applyFont="1" applyAlignment="1">
      <alignment horizontal="right"/>
    </xf>
    <xf numFmtId="165" fontId="20" fillId="0" borderId="0" xfId="0" applyNumberFormat="1" applyFont="1"/>
    <xf numFmtId="0" fontId="20" fillId="0" borderId="0" xfId="0" applyFont="1"/>
    <xf numFmtId="9" fontId="20" fillId="0" borderId="0" xfId="2" applyFont="1" applyFill="1"/>
    <xf numFmtId="0" fontId="20" fillId="0" borderId="0" xfId="0" applyFont="1" applyAlignment="1">
      <alignment horizontal="right"/>
    </xf>
    <xf numFmtId="9" fontId="20" fillId="0" borderId="0" xfId="2" applyFont="1"/>
    <xf numFmtId="9" fontId="0" fillId="3" borderId="0" xfId="0" applyNumberFormat="1" applyFill="1"/>
    <xf numFmtId="0" fontId="3" fillId="3" borderId="0" xfId="0" applyFont="1" applyFill="1"/>
    <xf numFmtId="0" fontId="0" fillId="3" borderId="0" xfId="0" applyFill="1"/>
    <xf numFmtId="0" fontId="8" fillId="3" borderId="0" xfId="0" applyFont="1" applyFill="1"/>
    <xf numFmtId="165" fontId="8" fillId="3" borderId="0" xfId="0" applyNumberFormat="1" applyFont="1" applyFill="1"/>
    <xf numFmtId="165" fontId="0" fillId="3" borderId="0" xfId="0" applyNumberFormat="1" applyFill="1"/>
    <xf numFmtId="165" fontId="18" fillId="3" borderId="0" xfId="0" applyNumberFormat="1" applyFont="1" applyFill="1"/>
    <xf numFmtId="165" fontId="10" fillId="3" borderId="0" xfId="0" applyNumberFormat="1" applyFont="1" applyFill="1"/>
    <xf numFmtId="165" fontId="20" fillId="3" borderId="0" xfId="0" applyNumberFormat="1" applyFont="1" applyFill="1"/>
    <xf numFmtId="10" fontId="12" fillId="3" borderId="0" xfId="2" applyNumberFormat="1" applyFont="1" applyFill="1"/>
    <xf numFmtId="165" fontId="12" fillId="3" borderId="0" xfId="0" applyNumberFormat="1" applyFont="1" applyFill="1"/>
    <xf numFmtId="0" fontId="13" fillId="3" borderId="0" xfId="0" applyFont="1" applyFill="1"/>
    <xf numFmtId="0" fontId="12" fillId="3" borderId="0" xfId="0" applyFont="1" applyFill="1"/>
    <xf numFmtId="0" fontId="0" fillId="0" borderId="0" xfId="0" applyAlignment="1">
      <alignment horizontal="center"/>
    </xf>
    <xf numFmtId="164" fontId="21" fillId="3" borderId="0" xfId="0" applyNumberFormat="1" applyFont="1" applyFill="1"/>
    <xf numFmtId="0" fontId="0" fillId="3" borderId="0" xfId="0" applyFill="1" applyAlignment="1">
      <alignment horizontal="right"/>
    </xf>
    <xf numFmtId="164" fontId="8" fillId="3" borderId="0" xfId="2" applyNumberFormat="1" applyFont="1" applyFill="1"/>
    <xf numFmtId="164" fontId="0" fillId="3" borderId="0" xfId="2" applyNumberFormat="1" applyFont="1" applyFill="1"/>
    <xf numFmtId="9" fontId="18" fillId="3" borderId="0" xfId="2" applyFont="1" applyFill="1"/>
    <xf numFmtId="164" fontId="10" fillId="3" borderId="0" xfId="2" applyNumberFormat="1" applyFont="1" applyFill="1"/>
    <xf numFmtId="164" fontId="20" fillId="3" borderId="0" xfId="2" applyNumberFormat="1" applyFont="1" applyFill="1"/>
    <xf numFmtId="164" fontId="12" fillId="3" borderId="0" xfId="2" applyNumberFormat="1" applyFont="1" applyFill="1"/>
    <xf numFmtId="164" fontId="13" fillId="3" borderId="0" xfId="2" applyNumberFormat="1" applyFont="1" applyFill="1"/>
    <xf numFmtId="164" fontId="16" fillId="3" borderId="0" xfId="2" applyNumberFormat="1" applyFont="1" applyFill="1"/>
    <xf numFmtId="0" fontId="6" fillId="4" borderId="0" xfId="0" applyFont="1" applyFill="1"/>
    <xf numFmtId="0" fontId="0" fillId="4" borderId="0" xfId="0" applyFill="1"/>
    <xf numFmtId="0" fontId="5" fillId="4" borderId="0" xfId="0" applyFont="1" applyFill="1"/>
    <xf numFmtId="0" fontId="0" fillId="4" borderId="2" xfId="0" applyFill="1" applyBorder="1"/>
    <xf numFmtId="0" fontId="22" fillId="4" borderId="0" xfId="3" applyFill="1"/>
    <xf numFmtId="0" fontId="14" fillId="4" borderId="0" xfId="0" applyFont="1" applyFill="1"/>
    <xf numFmtId="0" fontId="0" fillId="4" borderId="2" xfId="0" applyFill="1" applyBorder="1" applyAlignment="1">
      <alignment horizontal="right"/>
    </xf>
    <xf numFmtId="0" fontId="0" fillId="4" borderId="0" xfId="0" applyFill="1" applyAlignment="1">
      <alignment horizontal="left"/>
    </xf>
    <xf numFmtId="9" fontId="0" fillId="4" borderId="0" xfId="2" applyFont="1" applyFill="1"/>
    <xf numFmtId="0" fontId="0" fillId="4" borderId="0" xfId="0" applyFill="1" applyAlignment="1">
      <alignment horizontal="right"/>
    </xf>
    <xf numFmtId="2" fontId="0" fillId="4" borderId="0" xfId="2" applyNumberFormat="1" applyFont="1" applyFill="1"/>
    <xf numFmtId="0" fontId="5" fillId="4" borderId="2" xfId="0" applyFont="1" applyFill="1" applyBorder="1"/>
    <xf numFmtId="0" fontId="0" fillId="0" borderId="2" xfId="0" applyBorder="1" applyAlignment="1">
      <alignment horizontal="center"/>
    </xf>
    <xf numFmtId="0" fontId="6" fillId="0" borderId="0" xfId="0" applyFont="1" applyAlignment="1">
      <alignment horizontal="left"/>
    </xf>
    <xf numFmtId="0" fontId="0" fillId="0" borderId="2" xfId="0" applyBorder="1" applyAlignment="1">
      <alignment horizontal="left" indent="1"/>
    </xf>
    <xf numFmtId="166" fontId="6" fillId="0" borderId="0" xfId="0" applyNumberFormat="1" applyFont="1"/>
    <xf numFmtId="1" fontId="0" fillId="0" borderId="0" xfId="0" applyNumberFormat="1"/>
    <xf numFmtId="164" fontId="0" fillId="0" borderId="0" xfId="0" applyNumberFormat="1"/>
    <xf numFmtId="164" fontId="0" fillId="0" borderId="2" xfId="0" applyNumberFormat="1" applyBorder="1"/>
    <xf numFmtId="0" fontId="22" fillId="0" borderId="0" xfId="3"/>
    <xf numFmtId="0" fontId="25" fillId="0" borderId="2" xfId="4" applyFont="1" applyBorder="1" applyAlignment="1">
      <alignment wrapText="1"/>
    </xf>
    <xf numFmtId="0" fontId="26" fillId="0" borderId="2" xfId="4" applyFont="1" applyBorder="1" applyAlignment="1">
      <alignment horizontal="right"/>
    </xf>
    <xf numFmtId="0" fontId="25" fillId="0" borderId="2" xfId="4" applyFont="1" applyBorder="1" applyAlignment="1">
      <alignment horizontal="right" wrapText="1"/>
    </xf>
    <xf numFmtId="0" fontId="27" fillId="0" borderId="0" xfId="5"/>
    <xf numFmtId="0" fontId="28" fillId="0" borderId="0" xfId="5" applyFont="1"/>
    <xf numFmtId="0" fontId="28" fillId="0" borderId="0" xfId="5" quotePrefix="1" applyFont="1"/>
    <xf numFmtId="9" fontId="28" fillId="0" borderId="0" xfId="2" applyFont="1"/>
    <xf numFmtId="166" fontId="28" fillId="0" borderId="0" xfId="5" applyNumberFormat="1" applyFont="1"/>
    <xf numFmtId="1" fontId="28" fillId="0" borderId="0" xfId="5" applyNumberFormat="1" applyFont="1"/>
    <xf numFmtId="164" fontId="28" fillId="0" borderId="0" xfId="2" applyNumberFormat="1" applyFont="1"/>
    <xf numFmtId="1" fontId="28" fillId="0" borderId="0" xfId="2" applyNumberFormat="1" applyFont="1"/>
    <xf numFmtId="3" fontId="28" fillId="0" borderId="0" xfId="5" applyNumberFormat="1" applyFont="1"/>
    <xf numFmtId="9" fontId="28" fillId="0" borderId="0" xfId="5" applyNumberFormat="1" applyFont="1"/>
    <xf numFmtId="165" fontId="28" fillId="0" borderId="0" xfId="5" applyNumberFormat="1" applyFont="1"/>
    <xf numFmtId="2" fontId="28" fillId="0" borderId="0" xfId="5" applyNumberFormat="1" applyFont="1"/>
    <xf numFmtId="167" fontId="28" fillId="0" borderId="0" xfId="5" applyNumberFormat="1" applyFont="1"/>
    <xf numFmtId="10" fontId="28" fillId="0" borderId="0" xfId="2" applyNumberFormat="1" applyFont="1" applyFill="1"/>
    <xf numFmtId="9" fontId="28" fillId="0" borderId="0" xfId="2" applyFont="1" applyFill="1"/>
    <xf numFmtId="164" fontId="28" fillId="0" borderId="0" xfId="2" applyNumberFormat="1" applyFont="1" applyFill="1"/>
    <xf numFmtId="164" fontId="28" fillId="0" borderId="0" xfId="5" applyNumberFormat="1" applyFont="1"/>
    <xf numFmtId="0" fontId="30" fillId="0" borderId="0" xfId="5" applyFont="1"/>
    <xf numFmtId="0" fontId="31" fillId="0" borderId="0" xfId="5" applyFont="1"/>
    <xf numFmtId="0" fontId="30" fillId="0" borderId="0" xfId="0" applyFont="1"/>
    <xf numFmtId="9" fontId="30" fillId="0" borderId="0" xfId="2" applyFont="1"/>
    <xf numFmtId="2" fontId="30" fillId="0" borderId="0" xfId="5" applyNumberFormat="1" applyFont="1"/>
    <xf numFmtId="166" fontId="30" fillId="0" borderId="0" xfId="5" applyNumberFormat="1" applyFont="1"/>
    <xf numFmtId="166" fontId="6" fillId="0" borderId="0" xfId="2" applyNumberFormat="1" applyFont="1"/>
    <xf numFmtId="166" fontId="0" fillId="0" borderId="0" xfId="2" applyNumberFormat="1" applyFont="1"/>
    <xf numFmtId="166" fontId="14" fillId="0" borderId="0" xfId="2" applyNumberFormat="1" applyFont="1"/>
    <xf numFmtId="166" fontId="14" fillId="0" borderId="2" xfId="2" applyNumberFormat="1" applyFont="1" applyBorder="1"/>
    <xf numFmtId="0" fontId="5" fillId="0" borderId="0" xfId="0" quotePrefix="1" applyFont="1" applyAlignment="1">
      <alignment horizontal="left"/>
    </xf>
    <xf numFmtId="166" fontId="0" fillId="0" borderId="2" xfId="2" applyNumberFormat="1" applyFont="1" applyBorder="1"/>
    <xf numFmtId="8" fontId="6" fillId="0" borderId="0" xfId="0" applyNumberFormat="1" applyFont="1"/>
    <xf numFmtId="1" fontId="1" fillId="2" borderId="1" xfId="1" applyNumberFormat="1"/>
    <xf numFmtId="0" fontId="22" fillId="4" borderId="7" xfId="3" quotePrefix="1" applyFill="1" applyBorder="1" applyAlignment="1">
      <alignment horizontal="left" vertical="center"/>
    </xf>
    <xf numFmtId="0" fontId="22" fillId="4" borderId="0" xfId="3" quotePrefix="1" applyFill="1" applyAlignment="1">
      <alignment horizontal="left" vertical="center"/>
    </xf>
    <xf numFmtId="0" fontId="0" fillId="0" borderId="0" xfId="0" applyAlignment="1">
      <alignment horizontal="left" wrapText="1"/>
    </xf>
    <xf numFmtId="0" fontId="0" fillId="0" borderId="0" xfId="0" applyAlignment="1">
      <alignment horizontal="left"/>
    </xf>
    <xf numFmtId="0" fontId="0" fillId="0" borderId="2" xfId="0" applyBorder="1" applyAlignment="1">
      <alignment horizontal="right"/>
    </xf>
    <xf numFmtId="0" fontId="0" fillId="0" borderId="0" xfId="0" applyAlignment="1">
      <alignment horizontal="left" vertical="top" wrapText="1"/>
    </xf>
    <xf numFmtId="0" fontId="0" fillId="0" borderId="0" xfId="0" applyAlignment="1">
      <alignment horizontal="center"/>
    </xf>
    <xf numFmtId="0" fontId="6" fillId="0" borderId="0" xfId="0" applyFont="1" applyAlignment="1">
      <alignment horizontal="left"/>
    </xf>
    <xf numFmtId="0" fontId="5" fillId="0" borderId="0" xfId="0" applyFont="1" applyAlignment="1">
      <alignment horizontal="left"/>
    </xf>
    <xf numFmtId="0" fontId="0" fillId="4" borderId="2" xfId="0" applyFill="1" applyBorder="1" applyAlignment="1">
      <alignment horizontal="left"/>
    </xf>
    <xf numFmtId="0" fontId="4" fillId="0" borderId="0" xfId="0" applyFont="1" applyAlignment="1">
      <alignment horizontal="left" wrapText="1"/>
    </xf>
    <xf numFmtId="0" fontId="5" fillId="0" borderId="0" xfId="0" applyFont="1" applyAlignment="1">
      <alignment horizontal="center"/>
    </xf>
    <xf numFmtId="0" fontId="0" fillId="4" borderId="4" xfId="0" applyFill="1" applyBorder="1" applyAlignment="1">
      <alignment horizontal="left"/>
    </xf>
    <xf numFmtId="0" fontId="0" fillId="4" borderId="0" xfId="0" applyFill="1" applyAlignment="1">
      <alignment horizontal="left"/>
    </xf>
    <xf numFmtId="0" fontId="0" fillId="3" borderId="6" xfId="0" applyFill="1" applyBorder="1" applyAlignment="1">
      <alignment horizontal="center"/>
    </xf>
    <xf numFmtId="0" fontId="0" fillId="3" borderId="7" xfId="0" applyFill="1" applyBorder="1" applyAlignment="1">
      <alignment horizontal="center"/>
    </xf>
    <xf numFmtId="0" fontId="0" fillId="0" borderId="0" xfId="0" applyAlignment="1">
      <alignment horizontal="right" wrapText="1"/>
    </xf>
    <xf numFmtId="0" fontId="0" fillId="0" borderId="2" xfId="0" applyBorder="1" applyAlignment="1">
      <alignment horizontal="right" wrapText="1"/>
    </xf>
  </cellXfs>
  <cellStyles count="6">
    <cellStyle name="Hyperlink" xfId="3" builtinId="8"/>
    <cellStyle name="Input" xfId="1" builtinId="20"/>
    <cellStyle name="Normal" xfId="0" builtinId="0"/>
    <cellStyle name="Normal 2" xfId="5" xr:uid="{EB48AD7A-AE7D-6548-BD83-EC5FD8F1EBBF}"/>
    <cellStyle name="Normal 3 2" xfId="4" xr:uid="{5A3F7ABA-FC01-2C46-806F-9C9FBEDF5274}"/>
    <cellStyle name="Percent" xfId="2" builtinId="5"/>
  </cellStyles>
  <dxfs count="9">
    <dxf>
      <font>
        <color theme="5" tint="0.79998168889431442"/>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cbmtroma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a:majorFont>
        <a:latin typeface="Arial"/>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hyperlink" Target="https://www.kff.org/medicare/issue-brief/how-much-does-medicare-spend-on-insul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791C1-B5DA-5541-B657-C65E873C1D78}">
  <dimension ref="A1:L50"/>
  <sheetViews>
    <sheetView showGridLines="0" tabSelected="1" zoomScaleNormal="100" workbookViewId="0"/>
  </sheetViews>
  <sheetFormatPr baseColWidth="10" defaultRowHeight="16" x14ac:dyDescent="0.2"/>
  <cols>
    <col min="1" max="1" width="69.33203125" bestFit="1" customWidth="1"/>
    <col min="2" max="2" width="1.83203125" customWidth="1"/>
    <col min="3" max="3" width="15.1640625" bestFit="1" customWidth="1"/>
    <col min="4" max="4" width="120.83203125" customWidth="1"/>
  </cols>
  <sheetData>
    <row r="1" spans="1:12" x14ac:dyDescent="0.2">
      <c r="A1" s="117" t="s">
        <v>188</v>
      </c>
      <c r="B1" s="117"/>
      <c r="C1" s="118"/>
      <c r="D1" s="118"/>
      <c r="E1" s="118"/>
      <c r="F1" s="118"/>
      <c r="G1" s="118"/>
      <c r="H1" s="118"/>
      <c r="I1" s="118"/>
      <c r="J1" s="118"/>
      <c r="K1" s="118"/>
      <c r="L1" s="118"/>
    </row>
    <row r="2" spans="1:12" x14ac:dyDescent="0.2">
      <c r="A2" s="128" t="s">
        <v>348</v>
      </c>
      <c r="B2" s="128"/>
      <c r="C2" s="120"/>
      <c r="D2" s="120"/>
      <c r="E2" s="120"/>
      <c r="F2" s="120"/>
      <c r="G2" s="120"/>
      <c r="H2" s="120"/>
      <c r="I2" s="120"/>
      <c r="J2" s="120"/>
      <c r="K2" s="120"/>
      <c r="L2" s="120"/>
    </row>
    <row r="3" spans="1:12" x14ac:dyDescent="0.2">
      <c r="A3" s="118"/>
      <c r="B3" s="118"/>
      <c r="C3" s="118"/>
      <c r="D3" s="118"/>
      <c r="E3" s="118"/>
      <c r="F3" s="118"/>
      <c r="G3" s="118"/>
      <c r="H3" s="118"/>
      <c r="I3" s="118"/>
      <c r="J3" s="118"/>
      <c r="K3" s="118"/>
      <c r="L3" s="118"/>
    </row>
    <row r="4" spans="1:12" x14ac:dyDescent="0.2">
      <c r="A4" s="118" t="s">
        <v>345</v>
      </c>
      <c r="B4" s="118"/>
      <c r="C4" s="118"/>
      <c r="D4" s="118"/>
      <c r="E4" s="118"/>
      <c r="F4" s="118"/>
      <c r="G4" s="118"/>
      <c r="H4" s="118"/>
      <c r="I4" s="118"/>
      <c r="J4" s="118"/>
      <c r="K4" s="118"/>
      <c r="L4" s="118"/>
    </row>
    <row r="5" spans="1:12" x14ac:dyDescent="0.2">
      <c r="A5" s="118" t="s">
        <v>346</v>
      </c>
      <c r="B5" s="118"/>
      <c r="C5" s="118"/>
      <c r="D5" s="118"/>
      <c r="E5" s="118"/>
      <c r="F5" s="118"/>
      <c r="G5" s="118"/>
      <c r="H5" s="118"/>
      <c r="I5" s="118"/>
      <c r="J5" s="118"/>
      <c r="K5" s="118"/>
      <c r="L5" s="118"/>
    </row>
    <row r="6" spans="1:12" x14ac:dyDescent="0.2">
      <c r="A6" s="118" t="s">
        <v>347</v>
      </c>
      <c r="B6" s="118"/>
      <c r="C6" s="118"/>
      <c r="D6" s="118"/>
      <c r="E6" s="118"/>
      <c r="F6" s="118"/>
      <c r="G6" s="118"/>
      <c r="H6" s="118"/>
      <c r="I6" s="118"/>
      <c r="J6" s="118"/>
      <c r="K6" s="118"/>
      <c r="L6" s="118"/>
    </row>
    <row r="7" spans="1:12" x14ac:dyDescent="0.2">
      <c r="A7" s="118"/>
      <c r="B7" s="118"/>
      <c r="C7" s="118"/>
      <c r="D7" s="118"/>
      <c r="E7" s="118"/>
      <c r="F7" s="118"/>
      <c r="G7" s="118"/>
      <c r="H7" s="118"/>
      <c r="I7" s="118"/>
      <c r="J7" s="118"/>
      <c r="K7" s="118"/>
      <c r="L7" s="118"/>
    </row>
    <row r="8" spans="1:12" x14ac:dyDescent="0.2">
      <c r="A8" s="120" t="s">
        <v>191</v>
      </c>
      <c r="B8" s="118"/>
      <c r="C8" s="120" t="s">
        <v>189</v>
      </c>
      <c r="D8" s="118"/>
      <c r="E8" s="118"/>
      <c r="F8" s="118"/>
      <c r="G8" s="118"/>
      <c r="H8" s="118"/>
      <c r="I8" s="118"/>
      <c r="J8" s="118"/>
      <c r="K8" s="118"/>
      <c r="L8" s="118"/>
    </row>
    <row r="9" spans="1:12" x14ac:dyDescent="0.2">
      <c r="A9" s="121" t="s">
        <v>223</v>
      </c>
      <c r="B9" s="118"/>
      <c r="C9" s="171" t="s">
        <v>224</v>
      </c>
      <c r="D9" s="118"/>
      <c r="E9" s="118"/>
      <c r="F9" s="118"/>
      <c r="G9" s="118"/>
      <c r="H9" s="118"/>
      <c r="I9" s="118"/>
      <c r="J9" s="118"/>
      <c r="K9" s="118"/>
      <c r="L9" s="118"/>
    </row>
    <row r="10" spans="1:12" x14ac:dyDescent="0.2">
      <c r="A10" s="121" t="s">
        <v>212</v>
      </c>
      <c r="B10" s="118"/>
      <c r="C10" s="172"/>
      <c r="D10" s="118"/>
      <c r="E10" s="118"/>
      <c r="F10" s="118"/>
      <c r="G10" s="118"/>
      <c r="H10" s="118"/>
      <c r="I10" s="118"/>
      <c r="J10" s="118"/>
      <c r="K10" s="118"/>
      <c r="L10" s="118"/>
    </row>
    <row r="11" spans="1:12" x14ac:dyDescent="0.2">
      <c r="A11" s="121" t="s">
        <v>231</v>
      </c>
      <c r="B11" s="118"/>
      <c r="C11" s="172"/>
      <c r="D11" s="118"/>
      <c r="E11" s="118"/>
      <c r="F11" s="118"/>
      <c r="G11" s="118"/>
      <c r="H11" s="118"/>
      <c r="I11" s="118"/>
      <c r="J11" s="118"/>
      <c r="K11" s="118"/>
      <c r="L11" s="118"/>
    </row>
    <row r="12" spans="1:12" x14ac:dyDescent="0.2">
      <c r="A12" s="118"/>
      <c r="B12" s="118"/>
      <c r="C12" s="118"/>
      <c r="D12" s="118"/>
      <c r="E12" s="118"/>
      <c r="F12" s="118"/>
      <c r="G12" s="118"/>
      <c r="H12" s="118"/>
      <c r="I12" s="118"/>
      <c r="J12" s="118"/>
      <c r="K12" s="118"/>
      <c r="L12" s="118"/>
    </row>
    <row r="13" spans="1:12" x14ac:dyDescent="0.2">
      <c r="A13" s="120" t="s">
        <v>372</v>
      </c>
      <c r="B13" s="118"/>
      <c r="C13" s="120" t="s">
        <v>189</v>
      </c>
      <c r="D13" s="118"/>
      <c r="E13" s="118"/>
      <c r="F13" s="118"/>
      <c r="G13" s="118"/>
      <c r="H13" s="118"/>
      <c r="I13" s="118"/>
      <c r="J13" s="118"/>
      <c r="K13" s="118"/>
      <c r="L13" s="118"/>
    </row>
    <row r="14" spans="1:12" x14ac:dyDescent="0.2">
      <c r="A14" s="121" t="s">
        <v>374</v>
      </c>
      <c r="B14" s="118"/>
      <c r="C14" s="121" t="s">
        <v>38</v>
      </c>
      <c r="D14" s="118"/>
      <c r="E14" s="118"/>
      <c r="F14" s="118"/>
      <c r="G14" s="118"/>
      <c r="H14" s="118"/>
      <c r="I14" s="118"/>
      <c r="J14" s="118"/>
      <c r="K14" s="118"/>
      <c r="L14" s="118"/>
    </row>
    <row r="15" spans="1:12" x14ac:dyDescent="0.2">
      <c r="A15" s="121" t="s">
        <v>373</v>
      </c>
      <c r="B15" s="118"/>
      <c r="C15" s="121" t="s">
        <v>190</v>
      </c>
      <c r="D15" s="118"/>
      <c r="E15" s="118"/>
      <c r="F15" s="118"/>
      <c r="G15" s="118"/>
      <c r="H15" s="118"/>
      <c r="I15" s="118"/>
      <c r="J15" s="118"/>
      <c r="K15" s="118"/>
      <c r="L15" s="118"/>
    </row>
    <row r="16" spans="1:12" x14ac:dyDescent="0.2">
      <c r="A16" s="118"/>
      <c r="B16" s="118"/>
      <c r="C16" s="118"/>
      <c r="D16" s="118"/>
      <c r="E16" s="118"/>
      <c r="F16" s="118"/>
      <c r="G16" s="118"/>
      <c r="H16" s="118"/>
      <c r="I16" s="118"/>
      <c r="J16" s="118"/>
      <c r="K16" s="118"/>
      <c r="L16" s="118"/>
    </row>
    <row r="17" spans="1:12" x14ac:dyDescent="0.2">
      <c r="A17" s="120" t="s">
        <v>192</v>
      </c>
      <c r="B17" s="118"/>
      <c r="C17" s="120" t="s">
        <v>189</v>
      </c>
      <c r="D17" s="118"/>
      <c r="E17" s="118"/>
      <c r="F17" s="118"/>
      <c r="G17" s="118"/>
      <c r="H17" s="118"/>
      <c r="I17" s="118"/>
      <c r="J17" s="118"/>
      <c r="K17" s="118"/>
      <c r="L17" s="118"/>
    </row>
    <row r="18" spans="1:12" x14ac:dyDescent="0.2">
      <c r="A18" s="121" t="s">
        <v>51</v>
      </c>
      <c r="B18" s="118"/>
      <c r="C18" s="121" t="s">
        <v>193</v>
      </c>
      <c r="D18" s="118"/>
      <c r="E18" s="118"/>
      <c r="F18" s="118"/>
      <c r="G18" s="118"/>
      <c r="H18" s="118"/>
      <c r="I18" s="118"/>
      <c r="J18" s="118"/>
      <c r="K18" s="118"/>
      <c r="L18" s="118"/>
    </row>
    <row r="19" spans="1:12" x14ac:dyDescent="0.2">
      <c r="A19" s="121" t="s">
        <v>194</v>
      </c>
      <c r="B19" s="118"/>
      <c r="C19" s="121" t="s">
        <v>196</v>
      </c>
      <c r="D19" s="118"/>
      <c r="E19" s="118"/>
      <c r="F19" s="118"/>
      <c r="G19" s="118"/>
      <c r="H19" s="118"/>
      <c r="I19" s="118"/>
      <c r="J19" s="118"/>
      <c r="K19" s="118"/>
      <c r="L19" s="118"/>
    </row>
    <row r="20" spans="1:12" x14ac:dyDescent="0.2">
      <c r="A20" s="121" t="s">
        <v>195</v>
      </c>
      <c r="B20" s="118"/>
      <c r="C20" s="121" t="s">
        <v>197</v>
      </c>
      <c r="D20" s="118"/>
      <c r="E20" s="118"/>
      <c r="F20" s="118"/>
      <c r="G20" s="118"/>
      <c r="H20" s="118"/>
      <c r="I20" s="118"/>
      <c r="J20" s="118"/>
      <c r="K20" s="118"/>
      <c r="L20" s="118"/>
    </row>
    <row r="21" spans="1:12" x14ac:dyDescent="0.2">
      <c r="A21" s="121" t="s">
        <v>235</v>
      </c>
      <c r="B21" s="118"/>
      <c r="C21" s="121" t="s">
        <v>341</v>
      </c>
      <c r="D21" s="118"/>
      <c r="E21" s="118"/>
      <c r="F21" s="118"/>
      <c r="G21" s="118"/>
      <c r="H21" s="118"/>
      <c r="I21" s="118"/>
      <c r="J21" s="118"/>
      <c r="K21" s="118"/>
      <c r="L21" s="118"/>
    </row>
    <row r="22" spans="1:12" x14ac:dyDescent="0.2">
      <c r="A22" s="118"/>
      <c r="B22" s="118"/>
      <c r="C22" s="118"/>
      <c r="D22" s="118"/>
      <c r="E22" s="118"/>
      <c r="F22" s="118"/>
      <c r="G22" s="118"/>
      <c r="H22" s="118"/>
      <c r="I22" s="118"/>
      <c r="J22" s="118"/>
      <c r="K22" s="118"/>
      <c r="L22" s="118"/>
    </row>
    <row r="23" spans="1:12" x14ac:dyDescent="0.2">
      <c r="A23" s="118"/>
      <c r="B23" s="118"/>
      <c r="C23" s="118"/>
      <c r="D23" s="118"/>
      <c r="E23" s="118"/>
      <c r="F23" s="118"/>
      <c r="G23" s="118"/>
      <c r="H23" s="118"/>
      <c r="I23" s="118"/>
      <c r="J23" s="118"/>
      <c r="K23" s="118"/>
      <c r="L23" s="118"/>
    </row>
    <row r="24" spans="1:12" x14ac:dyDescent="0.2">
      <c r="A24" s="118"/>
      <c r="B24" s="118"/>
      <c r="C24" s="118"/>
      <c r="D24" s="118"/>
      <c r="E24" s="118"/>
      <c r="F24" s="118"/>
      <c r="G24" s="118"/>
      <c r="H24" s="118"/>
      <c r="I24" s="118"/>
      <c r="J24" s="118"/>
      <c r="K24" s="118"/>
      <c r="L24" s="118"/>
    </row>
    <row r="25" spans="1:12" x14ac:dyDescent="0.2">
      <c r="A25" s="118"/>
      <c r="B25" s="118"/>
      <c r="C25" s="118"/>
      <c r="D25" s="118"/>
      <c r="E25" s="118"/>
      <c r="F25" s="118"/>
      <c r="G25" s="118"/>
      <c r="H25" s="118"/>
      <c r="I25" s="118"/>
      <c r="J25" s="118"/>
      <c r="K25" s="118"/>
      <c r="L25" s="118"/>
    </row>
    <row r="26" spans="1:12" x14ac:dyDescent="0.2">
      <c r="A26" s="118"/>
      <c r="B26" s="118"/>
      <c r="C26" s="118"/>
      <c r="D26" s="118"/>
      <c r="E26" s="118"/>
      <c r="F26" s="118"/>
      <c r="G26" s="118"/>
      <c r="H26" s="118"/>
      <c r="I26" s="118"/>
      <c r="J26" s="118"/>
      <c r="K26" s="118"/>
      <c r="L26" s="118"/>
    </row>
    <row r="27" spans="1:12" x14ac:dyDescent="0.2">
      <c r="A27" s="118"/>
      <c r="B27" s="118"/>
      <c r="C27" s="118"/>
      <c r="D27" s="118"/>
      <c r="E27" s="118"/>
      <c r="F27" s="118"/>
      <c r="G27" s="118"/>
      <c r="H27" s="118"/>
      <c r="I27" s="118"/>
      <c r="J27" s="118"/>
      <c r="K27" s="118"/>
      <c r="L27" s="118"/>
    </row>
    <row r="28" spans="1:12" x14ac:dyDescent="0.2">
      <c r="A28" s="118"/>
      <c r="B28" s="118"/>
      <c r="C28" s="118"/>
      <c r="D28" s="118"/>
      <c r="E28" s="118"/>
      <c r="F28" s="118"/>
      <c r="G28" s="118"/>
      <c r="H28" s="118"/>
      <c r="I28" s="118"/>
      <c r="J28" s="118"/>
      <c r="K28" s="118"/>
      <c r="L28" s="118"/>
    </row>
    <row r="29" spans="1:12" x14ac:dyDescent="0.2">
      <c r="A29" s="118"/>
      <c r="B29" s="118"/>
      <c r="C29" s="118"/>
      <c r="D29" s="118"/>
      <c r="E29" s="118"/>
      <c r="F29" s="118"/>
      <c r="G29" s="118"/>
      <c r="H29" s="118"/>
      <c r="I29" s="118"/>
      <c r="J29" s="118"/>
      <c r="K29" s="118"/>
      <c r="L29" s="118"/>
    </row>
    <row r="30" spans="1:12" x14ac:dyDescent="0.2">
      <c r="A30" s="118"/>
      <c r="B30" s="118"/>
      <c r="C30" s="118"/>
      <c r="D30" s="118"/>
      <c r="E30" s="118"/>
      <c r="F30" s="118"/>
      <c r="G30" s="118"/>
      <c r="H30" s="118"/>
      <c r="I30" s="118"/>
      <c r="J30" s="118"/>
      <c r="K30" s="118"/>
      <c r="L30" s="118"/>
    </row>
    <row r="31" spans="1:12" x14ac:dyDescent="0.2">
      <c r="A31" s="118"/>
      <c r="B31" s="118"/>
      <c r="C31" s="118"/>
      <c r="D31" s="118"/>
      <c r="E31" s="118"/>
      <c r="F31" s="118"/>
      <c r="G31" s="118"/>
      <c r="H31" s="118"/>
      <c r="I31" s="118"/>
      <c r="J31" s="118"/>
      <c r="K31" s="118"/>
      <c r="L31" s="118"/>
    </row>
    <row r="32" spans="1:12" x14ac:dyDescent="0.2">
      <c r="A32" s="118"/>
      <c r="B32" s="118"/>
      <c r="C32" s="118"/>
      <c r="D32" s="118"/>
      <c r="E32" s="118"/>
      <c r="F32" s="118"/>
      <c r="G32" s="118"/>
      <c r="H32" s="118"/>
      <c r="I32" s="118"/>
      <c r="J32" s="118"/>
      <c r="K32" s="118"/>
      <c r="L32" s="118"/>
    </row>
    <row r="33" spans="1:12" x14ac:dyDescent="0.2">
      <c r="A33" s="118"/>
      <c r="B33" s="118"/>
      <c r="C33" s="118"/>
      <c r="D33" s="118"/>
      <c r="E33" s="118"/>
      <c r="F33" s="118"/>
      <c r="G33" s="118"/>
      <c r="H33" s="118"/>
      <c r="I33" s="118"/>
      <c r="J33" s="118"/>
      <c r="K33" s="118"/>
      <c r="L33" s="118"/>
    </row>
    <row r="34" spans="1:12" x14ac:dyDescent="0.2">
      <c r="A34" s="118"/>
      <c r="B34" s="118"/>
      <c r="C34" s="118"/>
      <c r="D34" s="118"/>
      <c r="E34" s="118"/>
      <c r="F34" s="118"/>
      <c r="G34" s="118"/>
      <c r="H34" s="118"/>
      <c r="I34" s="118"/>
      <c r="J34" s="118"/>
      <c r="K34" s="118"/>
      <c r="L34" s="118"/>
    </row>
    <row r="35" spans="1:12" x14ac:dyDescent="0.2">
      <c r="A35" s="118"/>
      <c r="B35" s="118"/>
      <c r="C35" s="118"/>
      <c r="D35" s="118"/>
      <c r="E35" s="118"/>
      <c r="F35" s="118"/>
      <c r="G35" s="118"/>
      <c r="H35" s="118"/>
      <c r="I35" s="118"/>
      <c r="J35" s="118"/>
      <c r="K35" s="118"/>
      <c r="L35" s="118"/>
    </row>
    <row r="36" spans="1:12" x14ac:dyDescent="0.2">
      <c r="A36" s="118"/>
      <c r="B36" s="118"/>
      <c r="C36" s="118"/>
      <c r="D36" s="118"/>
      <c r="E36" s="118"/>
      <c r="F36" s="118"/>
      <c r="G36" s="118"/>
      <c r="H36" s="118"/>
      <c r="I36" s="118"/>
      <c r="J36" s="118"/>
      <c r="K36" s="118"/>
      <c r="L36" s="118"/>
    </row>
    <row r="37" spans="1:12" x14ac:dyDescent="0.2">
      <c r="A37" s="118"/>
      <c r="B37" s="118"/>
      <c r="C37" s="118"/>
      <c r="D37" s="118"/>
      <c r="E37" s="118"/>
      <c r="F37" s="118"/>
      <c r="G37" s="118"/>
      <c r="H37" s="118"/>
      <c r="I37" s="118"/>
      <c r="J37" s="118"/>
      <c r="K37" s="118"/>
      <c r="L37" s="118"/>
    </row>
    <row r="38" spans="1:12" x14ac:dyDescent="0.2">
      <c r="A38" s="118"/>
      <c r="B38" s="118"/>
      <c r="C38" s="118"/>
      <c r="D38" s="118"/>
      <c r="E38" s="118"/>
      <c r="F38" s="118"/>
      <c r="G38" s="118"/>
      <c r="H38" s="118"/>
      <c r="I38" s="118"/>
      <c r="J38" s="118"/>
      <c r="K38" s="118"/>
      <c r="L38" s="118"/>
    </row>
    <row r="39" spans="1:12" x14ac:dyDescent="0.2">
      <c r="A39" s="118"/>
      <c r="B39" s="118"/>
      <c r="C39" s="118"/>
      <c r="D39" s="118"/>
      <c r="E39" s="118"/>
      <c r="F39" s="118"/>
      <c r="G39" s="118"/>
      <c r="H39" s="118"/>
      <c r="I39" s="118"/>
      <c r="J39" s="118"/>
      <c r="K39" s="118"/>
      <c r="L39" s="118"/>
    </row>
    <row r="40" spans="1:12" x14ac:dyDescent="0.2">
      <c r="A40" s="118"/>
      <c r="B40" s="118"/>
      <c r="C40" s="118"/>
      <c r="D40" s="118"/>
      <c r="E40" s="118"/>
      <c r="F40" s="118"/>
      <c r="G40" s="118"/>
      <c r="H40" s="118"/>
      <c r="I40" s="118"/>
      <c r="J40" s="118"/>
      <c r="K40" s="118"/>
      <c r="L40" s="118"/>
    </row>
    <row r="41" spans="1:12" x14ac:dyDescent="0.2">
      <c r="A41" s="118"/>
      <c r="B41" s="118"/>
      <c r="C41" s="118"/>
      <c r="D41" s="118"/>
      <c r="E41" s="118"/>
      <c r="F41" s="118"/>
      <c r="G41" s="118"/>
      <c r="H41" s="118"/>
      <c r="I41" s="118"/>
      <c r="J41" s="118"/>
      <c r="K41" s="118"/>
      <c r="L41" s="118"/>
    </row>
    <row r="42" spans="1:12" x14ac:dyDescent="0.2">
      <c r="A42" s="118"/>
      <c r="B42" s="118"/>
      <c r="C42" s="118"/>
      <c r="D42" s="118"/>
      <c r="E42" s="118"/>
      <c r="F42" s="118"/>
      <c r="G42" s="118"/>
      <c r="H42" s="118"/>
      <c r="I42" s="118"/>
      <c r="J42" s="118"/>
      <c r="K42" s="118"/>
      <c r="L42" s="118"/>
    </row>
    <row r="43" spans="1:12" x14ac:dyDescent="0.2">
      <c r="A43" s="118"/>
      <c r="B43" s="118"/>
      <c r="C43" s="118"/>
      <c r="D43" s="118"/>
      <c r="E43" s="118"/>
      <c r="F43" s="118"/>
      <c r="G43" s="118"/>
      <c r="H43" s="118"/>
      <c r="I43" s="118"/>
      <c r="J43" s="118"/>
      <c r="K43" s="118"/>
      <c r="L43" s="118"/>
    </row>
    <row r="44" spans="1:12" x14ac:dyDescent="0.2">
      <c r="A44" s="118"/>
      <c r="B44" s="118"/>
      <c r="C44" s="118"/>
      <c r="D44" s="118"/>
      <c r="E44" s="118"/>
      <c r="F44" s="118"/>
      <c r="G44" s="118"/>
      <c r="H44" s="118"/>
      <c r="I44" s="118"/>
      <c r="J44" s="118"/>
      <c r="K44" s="118"/>
      <c r="L44" s="118"/>
    </row>
    <row r="45" spans="1:12" x14ac:dyDescent="0.2">
      <c r="A45" s="118"/>
      <c r="B45" s="118"/>
      <c r="C45" s="118"/>
      <c r="D45" s="118"/>
      <c r="E45" s="118"/>
      <c r="F45" s="118"/>
      <c r="G45" s="118"/>
      <c r="H45" s="118"/>
      <c r="I45" s="118"/>
      <c r="J45" s="118"/>
      <c r="K45" s="118"/>
      <c r="L45" s="118"/>
    </row>
    <row r="46" spans="1:12" x14ac:dyDescent="0.2">
      <c r="A46" s="118"/>
      <c r="B46" s="118"/>
      <c r="C46" s="118"/>
      <c r="D46" s="118"/>
      <c r="E46" s="118"/>
      <c r="F46" s="118"/>
      <c r="G46" s="118"/>
      <c r="H46" s="118"/>
      <c r="I46" s="118"/>
      <c r="J46" s="118"/>
      <c r="K46" s="118"/>
      <c r="L46" s="118"/>
    </row>
    <row r="47" spans="1:12" x14ac:dyDescent="0.2">
      <c r="A47" s="118"/>
      <c r="B47" s="118"/>
      <c r="C47" s="118"/>
      <c r="D47" s="118"/>
      <c r="E47" s="118"/>
      <c r="F47" s="118"/>
      <c r="G47" s="118"/>
      <c r="H47" s="118"/>
      <c r="I47" s="118"/>
      <c r="J47" s="118"/>
      <c r="K47" s="118"/>
      <c r="L47" s="118"/>
    </row>
    <row r="48" spans="1:12" x14ac:dyDescent="0.2">
      <c r="A48" s="118"/>
      <c r="B48" s="118"/>
      <c r="C48" s="118"/>
      <c r="D48" s="118"/>
      <c r="E48" s="118"/>
      <c r="F48" s="118"/>
      <c r="G48" s="118"/>
      <c r="H48" s="118"/>
      <c r="I48" s="118"/>
      <c r="J48" s="118"/>
      <c r="K48" s="118"/>
      <c r="L48" s="118"/>
    </row>
    <row r="49" spans="1:12" x14ac:dyDescent="0.2">
      <c r="A49" s="118"/>
      <c r="B49" s="118"/>
      <c r="C49" s="118"/>
      <c r="D49" s="118"/>
      <c r="E49" s="118"/>
      <c r="F49" s="118"/>
      <c r="G49" s="118"/>
      <c r="H49" s="118"/>
      <c r="I49" s="118"/>
      <c r="J49" s="118"/>
      <c r="K49" s="118"/>
      <c r="L49" s="118"/>
    </row>
    <row r="50" spans="1:12" x14ac:dyDescent="0.2">
      <c r="A50" s="118"/>
      <c r="B50" s="118"/>
      <c r="C50" s="118"/>
      <c r="D50" s="118"/>
      <c r="E50" s="118"/>
      <c r="F50" s="118"/>
      <c r="G50" s="118"/>
      <c r="H50" s="118"/>
      <c r="I50" s="118"/>
      <c r="J50" s="118"/>
      <c r="K50" s="118"/>
      <c r="L50" s="118"/>
    </row>
  </sheetData>
  <mergeCells count="1">
    <mergeCell ref="C9:C11"/>
  </mergeCells>
  <hyperlinks>
    <hyperlink ref="C14" location="Brands!A1" display="Brands" xr:uid="{5EE0F20B-E34E-5A47-978E-116D076BAEF5}"/>
    <hyperlink ref="C15" location="Pharmacy!A1" display="Pharmacy" xr:uid="{F00425BE-7FEA-224D-91EF-FAD4AC47377D}"/>
    <hyperlink ref="C18" location="BenefitParams!A1" display="BenefitParams" xr:uid="{F6D125FA-FBE5-7546-99BE-5498F805C079}"/>
    <hyperlink ref="C19" location="BackgroundInfo1!A1" display="BackgroundInfo1" xr:uid="{4B9CE743-AD71-FD4C-95BA-D633F97629B3}"/>
    <hyperlink ref="C20" location="BackgroundInfo2!A1" display="BackgroundInfo2" xr:uid="{9B6592F8-E9A4-CB47-9B9E-4690A5F53A24}"/>
    <hyperlink ref="C9" location="Tables12!A1" display="Tables12" xr:uid="{CF79095B-4FB8-5F4C-B241-9B6ACF32962F}"/>
    <hyperlink ref="A9" location="Tables12!A1" display="Table 1a" xr:uid="{D8EAEE85-3E96-FF43-98BB-5D5E8EFDD921}"/>
    <hyperlink ref="A10" location="Tables12!A23" display="Table 1b.  Rebate Rules: Regulatory Costs" xr:uid="{5032875B-B053-2240-A87F-572D2064A573}"/>
    <hyperlink ref="A11" location="Tables12!L1" display="Table 2" xr:uid="{127F1453-C483-1342-839F-6922000C0BB7}"/>
    <hyperlink ref="A14" location="Brands!A1" display="Manufacturer rebates" xr:uid="{DF6C8EBE-5BC2-6B49-A731-A40E641D9B72}"/>
    <hyperlink ref="A15" location="Pharmacy!A1" display="Pharmacy DIR (CMS Rule and PBM Transparency Act)" xr:uid="{5562AEC1-D9B9-D64B-92E9-6409CC06D4DF}"/>
    <hyperlink ref="A18" location="BenefitParams!A1" display="Table A1.  Benefit parameters and retention rates by segment" xr:uid="{2004F94E-9B66-C745-8C7D-DD36246DE628}"/>
    <hyperlink ref="A19" location="BackgroundInfo1!A1" display="General background" xr:uid="{112C4CF4-4AD4-4945-883F-A28DAD3AEED8}"/>
    <hyperlink ref="A20" location="BackgroundInfo2!A1" display="Specialized background" xr:uid="{FFE955E5-F3D8-7148-899A-A117AA8A5B5F}"/>
    <hyperlink ref="A21" location="QuantitativeProse!A1" display="Prose linked to Excel calculations" xr:uid="{39310188-5BB6-474C-A9D4-726D5F94377C}"/>
    <hyperlink ref="C21" location="QuantitativeProse!A1" display="QuantitativeProse" xr:uid="{F03714E1-BF18-AB4F-AA6E-9F4001B080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AFC8-D5E4-4542-8B6F-87A117CE7185}">
  <dimension ref="A1:T49"/>
  <sheetViews>
    <sheetView showGridLines="0" zoomScaleNormal="100" workbookViewId="0"/>
  </sheetViews>
  <sheetFormatPr baseColWidth="10" defaultRowHeight="16" x14ac:dyDescent="0.2"/>
  <cols>
    <col min="1" max="1" width="30.83203125" customWidth="1"/>
    <col min="2" max="2" width="1.83203125" customWidth="1"/>
    <col min="3" max="4" width="12.83203125" hidden="1" customWidth="1"/>
    <col min="5" max="5" width="14.83203125" customWidth="1"/>
    <col min="6" max="6" width="1" customWidth="1"/>
    <col min="7" max="8" width="10.83203125" hidden="1" customWidth="1"/>
    <col min="9" max="9" width="14.83203125" customWidth="1"/>
    <col min="11" max="11" width="35.83203125" customWidth="1"/>
    <col min="12" max="12" width="1" customWidth="1"/>
    <col min="13" max="14" width="11.83203125" hidden="1" customWidth="1"/>
    <col min="16" max="16" width="1" customWidth="1"/>
    <col min="17" max="18" width="11.83203125" hidden="1" customWidth="1"/>
    <col min="20" max="20" width="1" customWidth="1"/>
    <col min="22" max="22" width="20.5" bestFit="1" customWidth="1"/>
  </cols>
  <sheetData>
    <row r="1" spans="1:20" x14ac:dyDescent="0.2">
      <c r="A1" s="169" t="s">
        <v>352</v>
      </c>
      <c r="B1" s="17"/>
      <c r="K1" s="178" t="s">
        <v>378</v>
      </c>
      <c r="L1" s="178"/>
      <c r="M1" s="178"/>
      <c r="N1" s="178"/>
      <c r="O1" s="178"/>
      <c r="P1" s="178"/>
      <c r="Q1" s="178"/>
      <c r="R1" s="178"/>
      <c r="S1" s="178"/>
      <c r="T1" s="178"/>
    </row>
    <row r="2" spans="1:20" x14ac:dyDescent="0.2">
      <c r="E2" s="177" t="s">
        <v>198</v>
      </c>
      <c r="F2" s="177"/>
      <c r="G2" s="177"/>
      <c r="H2" s="177"/>
      <c r="I2" s="177"/>
      <c r="K2" s="179" t="s">
        <v>361</v>
      </c>
      <c r="L2" s="179"/>
      <c r="M2" s="179"/>
      <c r="N2" s="179"/>
      <c r="O2" s="179"/>
      <c r="P2" s="179"/>
      <c r="Q2" s="179"/>
      <c r="R2" s="179"/>
      <c r="S2" s="179"/>
      <c r="T2" s="179"/>
    </row>
    <row r="3" spans="1:20" x14ac:dyDescent="0.2">
      <c r="A3" s="5" t="s">
        <v>10</v>
      </c>
      <c r="C3" s="175" t="s">
        <v>357</v>
      </c>
      <c r="D3" s="175"/>
      <c r="E3" s="175"/>
      <c r="F3" s="106"/>
      <c r="G3" s="175" t="s">
        <v>358</v>
      </c>
      <c r="H3" s="175"/>
      <c r="I3" s="175"/>
      <c r="K3" s="5" t="s">
        <v>364</v>
      </c>
      <c r="M3" s="175" t="s">
        <v>357</v>
      </c>
      <c r="N3" s="175"/>
      <c r="O3" s="175"/>
      <c r="P3" s="106"/>
      <c r="Q3" s="175" t="s">
        <v>358</v>
      </c>
      <c r="R3" s="175"/>
      <c r="S3" s="175"/>
      <c r="T3" s="106"/>
    </row>
    <row r="4" spans="1:20" hidden="1" x14ac:dyDescent="0.2">
      <c r="A4" s="5"/>
      <c r="C4" s="6" t="s">
        <v>354</v>
      </c>
      <c r="D4" s="6" t="s">
        <v>190</v>
      </c>
      <c r="E4" s="6" t="s">
        <v>355</v>
      </c>
      <c r="F4" s="106"/>
      <c r="G4" s="6" t="s">
        <v>354</v>
      </c>
      <c r="H4" s="6" t="s">
        <v>190</v>
      </c>
      <c r="I4" s="6" t="s">
        <v>355</v>
      </c>
      <c r="K4" s="5" t="s">
        <v>221</v>
      </c>
      <c r="M4" s="6" t="s">
        <v>354</v>
      </c>
      <c r="N4" s="6" t="s">
        <v>190</v>
      </c>
      <c r="O4" s="6" t="s">
        <v>355</v>
      </c>
      <c r="P4" s="106"/>
      <c r="Q4" s="6" t="s">
        <v>354</v>
      </c>
      <c r="R4" s="6" t="s">
        <v>190</v>
      </c>
      <c r="S4" s="6" t="s">
        <v>355</v>
      </c>
      <c r="T4" s="106"/>
    </row>
    <row r="5" spans="1:20" x14ac:dyDescent="0.2">
      <c r="A5" t="s">
        <v>222</v>
      </c>
      <c r="K5" t="s">
        <v>220</v>
      </c>
      <c r="M5" s="164">
        <f>Brands!H61*M$19</f>
        <v>4.6078857123640145</v>
      </c>
      <c r="N5" s="164">
        <f>M5*D9/C9</f>
        <v>0.49100904325992889</v>
      </c>
      <c r="O5" s="164">
        <f t="shared" ref="O5:O11" si="0">M5+N5</f>
        <v>5.0988947556239435</v>
      </c>
      <c r="Q5" s="164">
        <f>Brands!I61*Q$19</f>
        <v>17.125971950921141</v>
      </c>
      <c r="R5" s="164">
        <f>Q5*H9/G9</f>
        <v>1.5294034569545525</v>
      </c>
      <c r="S5" s="164">
        <f t="shared" ref="S5:S11" si="1">Q5+R5</f>
        <v>18.655375407875692</v>
      </c>
    </row>
    <row r="6" spans="1:20" x14ac:dyDescent="0.2">
      <c r="A6" s="14" t="s">
        <v>38</v>
      </c>
      <c r="B6" s="14"/>
      <c r="C6" s="8">
        <f>Brands!H35</f>
        <v>-2.7965578528135415E-2</v>
      </c>
      <c r="D6" s="8">
        <f>Pharmacy!H45</f>
        <v>-3.3768893131245203E-3</v>
      </c>
      <c r="E6" s="8">
        <f>(1+C6)*(1+D6)-1</f>
        <v>-3.1248031177992908E-2</v>
      </c>
      <c r="G6" s="8">
        <f>Brands!I35</f>
        <v>-9.5669337477422678E-2</v>
      </c>
      <c r="H6" s="8">
        <f>Pharmacy!I45</f>
        <v>-1.040716557469068E-2</v>
      </c>
      <c r="I6" s="8">
        <f>(1+G6)*(1+H6)-1</f>
        <v>-0.10508085641656484</v>
      </c>
      <c r="K6" t="s">
        <v>363</v>
      </c>
      <c r="M6" s="39">
        <f>M5</f>
        <v>4.6078857123640145</v>
      </c>
      <c r="N6" s="164">
        <f>M6*D10/C10</f>
        <v>0.75348392352790938</v>
      </c>
      <c r="O6" s="164">
        <f t="shared" si="0"/>
        <v>5.3613696358919238</v>
      </c>
      <c r="Q6" s="39">
        <f>Q5</f>
        <v>17.125971950921141</v>
      </c>
      <c r="R6" s="164">
        <f>Q6*H10/G10</f>
        <v>2.3469647519164329</v>
      </c>
      <c r="S6" s="164">
        <f t="shared" si="1"/>
        <v>19.472936702837572</v>
      </c>
    </row>
    <row r="7" spans="1:20" x14ac:dyDescent="0.2">
      <c r="A7" s="14" t="s">
        <v>54</v>
      </c>
      <c r="B7" s="14"/>
      <c r="C7" s="8">
        <f>Brands!H42</f>
        <v>-1.9808951457430668E-3</v>
      </c>
      <c r="D7" s="8">
        <f>D6</f>
        <v>-3.3768893131245203E-3</v>
      </c>
      <c r="E7" s="8">
        <f>(1+C7)*(1+D7)-1</f>
        <v>-5.3510951952194796E-3</v>
      </c>
      <c r="G7" s="8">
        <f>Brands!I42</f>
        <v>-6.776578071317596E-3</v>
      </c>
      <c r="H7" s="8">
        <f>H6</f>
        <v>-1.040716557469068E-2</v>
      </c>
      <c r="I7" s="8">
        <f>(1+G7)*(1+H7)-1</f>
        <v>-1.7113218675990249E-2</v>
      </c>
      <c r="K7" t="s">
        <v>219</v>
      </c>
      <c r="M7" s="164">
        <f>Brands!H62*M$19</f>
        <v>-2.0228435135351281</v>
      </c>
      <c r="N7" s="164">
        <f>M7*D6/C6</f>
        <v>-0.24426166031600696</v>
      </c>
      <c r="O7" s="164">
        <f t="shared" si="0"/>
        <v>-2.2671051738511352</v>
      </c>
      <c r="Q7" s="164">
        <f>Brands!I62*Q$19</f>
        <v>-6.9200820775335714</v>
      </c>
      <c r="R7" s="164">
        <f>Q7*H6/G6</f>
        <v>-0.75278497656929222</v>
      </c>
      <c r="S7" s="164">
        <f t="shared" si="1"/>
        <v>-7.6728670541028636</v>
      </c>
    </row>
    <row r="8" spans="1:20" x14ac:dyDescent="0.2">
      <c r="A8" t="s">
        <v>365</v>
      </c>
      <c r="K8" t="s">
        <v>218</v>
      </c>
      <c r="M8" s="164">
        <f>Brands!H63*M$19</f>
        <v>0.15860600829142762</v>
      </c>
      <c r="N8" s="164">
        <f>D7*BackgroundInfo1!$C$29-N7</f>
        <v>-0.12685847519637786</v>
      </c>
      <c r="O8" s="164">
        <f t="shared" si="0"/>
        <v>3.1747533095049768E-2</v>
      </c>
      <c r="Q8" s="164">
        <f>Brands!I63*Q$19</f>
        <v>0.54258601222621039</v>
      </c>
      <c r="R8" s="164">
        <f>H7*BackgroundInfo1!$C$29-R7</f>
        <v>-0.39096252008921351</v>
      </c>
      <c r="S8" s="164">
        <f t="shared" si="1"/>
        <v>0.15162349213699688</v>
      </c>
    </row>
    <row r="9" spans="1:20" x14ac:dyDescent="0.2">
      <c r="A9" s="14" t="s">
        <v>38</v>
      </c>
      <c r="C9" s="8">
        <f>Brands!H38</f>
        <v>6.3703489111023304E-2</v>
      </c>
      <c r="D9" s="8">
        <f>Pharmacy!H44</f>
        <v>6.7881434552063968E-3</v>
      </c>
      <c r="E9" s="8">
        <f>(1+C9)*(1+D9)-1</f>
        <v>7.0924060988912574E-2</v>
      </c>
      <c r="F9" s="8"/>
      <c r="G9" s="8">
        <f>Brands!I38</f>
        <v>0.2367645891832415</v>
      </c>
      <c r="H9" s="8">
        <f>Pharmacy!I44</f>
        <v>2.114382659384173E-2</v>
      </c>
      <c r="I9" s="8">
        <f>(1+G9)*(1+H9)-1</f>
        <v>0.26291452519433589</v>
      </c>
      <c r="K9" t="s">
        <v>217</v>
      </c>
      <c r="M9" s="164">
        <f>Brands!H64*M$19</f>
        <v>-0.12886218973778904</v>
      </c>
      <c r="N9" s="164"/>
      <c r="O9" s="164">
        <f t="shared" si="0"/>
        <v>-0.12886218973778904</v>
      </c>
      <c r="Q9" s="164">
        <f>Brands!I64*Q$19</f>
        <v>-1.6384303902015491</v>
      </c>
      <c r="R9" s="164">
        <f>R7*Q9/Q7</f>
        <v>-0.17823282572074464</v>
      </c>
      <c r="S9" s="164">
        <f t="shared" si="1"/>
        <v>-1.8166632159222937</v>
      </c>
    </row>
    <row r="10" spans="1:20" x14ac:dyDescent="0.2">
      <c r="A10" s="14" t="s">
        <v>54</v>
      </c>
      <c r="C10" s="8">
        <f>C9*BackgroundInfo1!$B$8*(1-Brands!$B$9)/Brands!$B$9</f>
        <v>4.1512483895171343E-2</v>
      </c>
      <c r="D10" s="8">
        <f>D9</f>
        <v>6.7881434552063968E-3</v>
      </c>
      <c r="E10" s="8">
        <f>(1+C10)*(1+D10)-1</f>
        <v>4.8582420046239916E-2</v>
      </c>
      <c r="F10" s="8"/>
      <c r="G10" s="8">
        <f>G9*BackgroundInfo1!$B$8*(1-Brands!$B$9)/Brands!$B$9</f>
        <v>0.1542880355938841</v>
      </c>
      <c r="H10" s="8">
        <f>H9</f>
        <v>2.114382659384173E-2</v>
      </c>
      <c r="I10" s="8">
        <f>(1+G10)*(1+H10)-1</f>
        <v>0.1786941016578274</v>
      </c>
      <c r="K10" t="s">
        <v>215</v>
      </c>
      <c r="M10" s="164">
        <f>Brands!H66*M$19</f>
        <v>0.58771257584068348</v>
      </c>
      <c r="N10" s="8"/>
      <c r="O10" s="164">
        <f t="shared" si="0"/>
        <v>0.58771257584068348</v>
      </c>
      <c r="Q10" s="164">
        <f>Brands!I66*Q$19</f>
        <v>1.2157315637242323</v>
      </c>
      <c r="R10" s="8"/>
      <c r="S10" s="164">
        <f t="shared" si="1"/>
        <v>1.2157315637242323</v>
      </c>
    </row>
    <row r="11" spans="1:20" x14ac:dyDescent="0.2">
      <c r="A11" t="s">
        <v>226</v>
      </c>
      <c r="K11" s="5" t="s">
        <v>214</v>
      </c>
      <c r="M11" s="168">
        <f>Brands!H67*M$19</f>
        <v>0.13970785406143701</v>
      </c>
      <c r="N11" s="168">
        <f>Pharmacy!H65*N$19</f>
        <v>0.3034519449082359</v>
      </c>
      <c r="O11" s="168">
        <f t="shared" si="0"/>
        <v>0.44315979896967295</v>
      </c>
      <c r="Q11" s="168">
        <f>Brands!I67*Q$19</f>
        <v>0.47793603929926065</v>
      </c>
      <c r="R11" s="168">
        <f>Pharmacy!I65*R$19</f>
        <v>0.93520229471183525</v>
      </c>
      <c r="S11" s="168">
        <f t="shared" si="1"/>
        <v>1.4131383340110959</v>
      </c>
    </row>
    <row r="12" spans="1:20" x14ac:dyDescent="0.2">
      <c r="A12" s="14" t="s">
        <v>9</v>
      </c>
      <c r="B12" s="14"/>
      <c r="C12" s="8">
        <f>Brands!C24</f>
        <v>0.3</v>
      </c>
      <c r="D12" s="8"/>
      <c r="E12" s="134">
        <f>C12</f>
        <v>0.3</v>
      </c>
      <c r="G12" s="134">
        <f>C12</f>
        <v>0.3</v>
      </c>
      <c r="H12" s="134"/>
      <c r="I12" s="134">
        <f>G12</f>
        <v>0.3</v>
      </c>
      <c r="K12" t="s">
        <v>228</v>
      </c>
    </row>
    <row r="13" spans="1:20" x14ac:dyDescent="0.2">
      <c r="A13" s="14" t="s">
        <v>216</v>
      </c>
      <c r="B13" s="14"/>
      <c r="C13" s="8">
        <f>Brands!D24</f>
        <v>0.2752293577981651</v>
      </c>
      <c r="D13" s="8"/>
      <c r="E13" s="134">
        <f>C13</f>
        <v>0.2752293577981651</v>
      </c>
      <c r="G13" s="8">
        <f>Brands!E24</f>
        <v>0.20833333333333334</v>
      </c>
      <c r="H13" s="8"/>
      <c r="I13" s="134">
        <f>G13</f>
        <v>0.20833333333333334</v>
      </c>
      <c r="K13" s="37" t="s">
        <v>209</v>
      </c>
      <c r="M13" s="164">
        <f>SUM(M6:M11)</f>
        <v>3.3422064472846458</v>
      </c>
      <c r="N13" s="164">
        <f>SUM(N6:N11)</f>
        <v>0.68581573292376052</v>
      </c>
      <c r="O13" s="164">
        <f>SUM(O6:O11)</f>
        <v>4.0280221802084055</v>
      </c>
      <c r="Q13" s="164">
        <f>SUM(Q6:Q11)</f>
        <v>10.803713098435724</v>
      </c>
      <c r="R13" s="164">
        <f>SUM(R6:R11)</f>
        <v>1.9601867242490179</v>
      </c>
      <c r="S13" s="164">
        <f>SUM(S6:S11)</f>
        <v>12.76389982268474</v>
      </c>
    </row>
    <row r="14" spans="1:20" x14ac:dyDescent="0.2">
      <c r="A14" t="s">
        <v>351</v>
      </c>
      <c r="B14" s="14"/>
      <c r="C14" s="8"/>
      <c r="D14" s="8"/>
      <c r="E14" s="134"/>
      <c r="G14" s="8"/>
      <c r="H14" s="8"/>
      <c r="I14" s="134"/>
      <c r="K14" s="14" t="s">
        <v>213</v>
      </c>
      <c r="M14" s="134">
        <f>(M13/M$19)*BackgroundInfo1!$B$8/(1-BackgroundInfo1!$C$42)</f>
        <v>3.4747641102864157E-2</v>
      </c>
      <c r="N14" s="134">
        <f>N13*M14/M13</f>
        <v>7.1301636587092002E-3</v>
      </c>
      <c r="O14" s="134">
        <f>(1+M14)*(1+N14)-1</f>
        <v>4.212556112939092E-2</v>
      </c>
      <c r="Q14" s="134">
        <f>(Q13/Q$19)*BackgroundInfo1!$B$8/(1-BackgroundInfo1!$C$42)</f>
        <v>0.11232206963987854</v>
      </c>
      <c r="R14" s="134">
        <f>R13*Q14/Q13</f>
        <v>2.0379311051877382E-2</v>
      </c>
      <c r="S14" s="134">
        <f>(1+Q14)*(1+R14)-1</f>
        <v>0.13499042708693754</v>
      </c>
    </row>
    <row r="15" spans="1:20" x14ac:dyDescent="0.2">
      <c r="A15" s="14" t="s">
        <v>9</v>
      </c>
      <c r="B15" s="14"/>
      <c r="D15" s="8">
        <f>Pharmacy!C24</f>
        <v>0.29787253798337188</v>
      </c>
      <c r="E15" s="134">
        <f>D15</f>
        <v>0.29787253798337188</v>
      </c>
      <c r="H15" s="134">
        <f>D15</f>
        <v>0.29787253798337188</v>
      </c>
      <c r="I15" s="134">
        <f>H15</f>
        <v>0.29787253798337188</v>
      </c>
    </row>
    <row r="16" spans="1:20" x14ac:dyDescent="0.2">
      <c r="A16" s="14" t="s">
        <v>216</v>
      </c>
      <c r="B16" s="14"/>
      <c r="D16" s="8">
        <f>Pharmacy!D24</f>
        <v>0.27327755778290996</v>
      </c>
      <c r="E16" s="134">
        <f>D16</f>
        <v>0.27327755778290996</v>
      </c>
      <c r="H16" s="8">
        <f>Pharmacy!E24</f>
        <v>0.20685592915511936</v>
      </c>
      <c r="I16" s="134">
        <f>H16</f>
        <v>0.20685592915511936</v>
      </c>
      <c r="K16" s="173" t="s">
        <v>362</v>
      </c>
      <c r="L16" s="173"/>
      <c r="M16" s="173"/>
      <c r="N16" s="173"/>
      <c r="O16" s="173"/>
      <c r="P16" s="173"/>
      <c r="Q16" s="173"/>
      <c r="R16" s="173"/>
      <c r="S16" s="173"/>
      <c r="T16" s="77"/>
    </row>
    <row r="17" spans="1:20" ht="16" customHeight="1" x14ac:dyDescent="0.2">
      <c r="K17" s="173"/>
      <c r="L17" s="173"/>
      <c r="M17" s="173"/>
      <c r="N17" s="173"/>
      <c r="O17" s="173"/>
      <c r="P17" s="173"/>
      <c r="Q17" s="173"/>
      <c r="R17" s="173"/>
      <c r="S17" s="173"/>
    </row>
    <row r="18" spans="1:20" ht="16" customHeight="1" x14ac:dyDescent="0.2">
      <c r="A18" s="176" t="s">
        <v>356</v>
      </c>
      <c r="B18" s="176"/>
      <c r="C18" s="176"/>
      <c r="D18" s="176"/>
      <c r="E18" s="176"/>
      <c r="F18" s="176"/>
      <c r="G18" s="176"/>
      <c r="H18" s="176"/>
      <c r="I18" s="176"/>
      <c r="K18" s="173"/>
      <c r="L18" s="173"/>
      <c r="M18" s="173"/>
      <c r="N18" s="173"/>
      <c r="O18" s="173"/>
      <c r="P18" s="173"/>
      <c r="Q18" s="173"/>
      <c r="R18" s="173"/>
      <c r="S18" s="173"/>
    </row>
    <row r="19" spans="1:20" x14ac:dyDescent="0.2">
      <c r="A19" s="176"/>
      <c r="B19" s="176"/>
      <c r="C19" s="176"/>
      <c r="D19" s="176"/>
      <c r="E19" s="176"/>
      <c r="F19" s="176"/>
      <c r="G19" s="176"/>
      <c r="H19" s="176"/>
      <c r="I19" s="176"/>
      <c r="M19">
        <f>C41</f>
        <v>31</v>
      </c>
      <c r="N19">
        <f>D41</f>
        <v>9</v>
      </c>
      <c r="Q19">
        <f>M19</f>
        <v>31</v>
      </c>
      <c r="R19">
        <f>N19</f>
        <v>9</v>
      </c>
    </row>
    <row r="20" spans="1:20" x14ac:dyDescent="0.2">
      <c r="A20" s="176"/>
      <c r="B20" s="176"/>
      <c r="C20" s="176"/>
      <c r="D20" s="176"/>
      <c r="E20" s="176"/>
      <c r="F20" s="176"/>
      <c r="G20" s="176"/>
      <c r="H20" s="176"/>
      <c r="I20" s="176"/>
    </row>
    <row r="21" spans="1:20" x14ac:dyDescent="0.2">
      <c r="A21" s="176"/>
      <c r="B21" s="176"/>
      <c r="C21" s="176"/>
      <c r="D21" s="176"/>
      <c r="E21" s="176"/>
      <c r="F21" s="176"/>
      <c r="G21" s="176"/>
      <c r="H21" s="176"/>
      <c r="I21" s="176"/>
    </row>
    <row r="23" spans="1:20" x14ac:dyDescent="0.2">
      <c r="A23" s="17" t="s">
        <v>353</v>
      </c>
      <c r="B23" s="17"/>
    </row>
    <row r="24" spans="1:20" x14ac:dyDescent="0.2">
      <c r="A24" s="167" t="s">
        <v>209</v>
      </c>
      <c r="E24" s="177" t="s">
        <v>198</v>
      </c>
      <c r="F24" s="177"/>
      <c r="G24" s="177"/>
      <c r="H24" s="177"/>
      <c r="I24" s="177"/>
    </row>
    <row r="25" spans="1:20" x14ac:dyDescent="0.2">
      <c r="A25" s="5" t="s">
        <v>10</v>
      </c>
      <c r="C25" s="175" t="s">
        <v>357</v>
      </c>
      <c r="D25" s="175"/>
      <c r="E25" s="175"/>
      <c r="F25" s="106"/>
      <c r="G25" s="175" t="s">
        <v>358</v>
      </c>
      <c r="H25" s="175"/>
      <c r="I25" s="175"/>
      <c r="K25" s="14"/>
      <c r="L25" s="134"/>
      <c r="M25" s="134"/>
      <c r="N25" s="134"/>
      <c r="O25" s="3"/>
      <c r="Q25" s="134"/>
      <c r="R25" s="134"/>
      <c r="S25" s="3"/>
    </row>
    <row r="26" spans="1:20" hidden="1" x14ac:dyDescent="0.2">
      <c r="A26" s="5"/>
      <c r="B26" s="106"/>
      <c r="C26" s="6" t="s">
        <v>354</v>
      </c>
      <c r="D26" s="6" t="s">
        <v>190</v>
      </c>
      <c r="E26" s="6" t="s">
        <v>355</v>
      </c>
      <c r="F26" s="106"/>
      <c r="G26" s="6" t="s">
        <v>354</v>
      </c>
      <c r="H26" s="6" t="s">
        <v>190</v>
      </c>
      <c r="I26" s="6" t="s">
        <v>355</v>
      </c>
      <c r="K26" s="14"/>
      <c r="L26" s="134"/>
    </row>
    <row r="27" spans="1:20" x14ac:dyDescent="0.2">
      <c r="A27" s="130" t="s">
        <v>206</v>
      </c>
      <c r="B27" s="130"/>
      <c r="C27" s="163">
        <f>-Brands!H55*C$41</f>
        <v>1.2621708640668028</v>
      </c>
      <c r="D27" s="163">
        <f>-Pharmacy!H57*Tables12!D$41</f>
        <v>0.52650393769361481</v>
      </c>
      <c r="E27" s="163">
        <f>C27+D27</f>
        <v>1.7886748017604175</v>
      </c>
      <c r="F27" s="17"/>
      <c r="G27" s="163">
        <f>-Brands!I55*G$41</f>
        <v>4.6451220011469196</v>
      </c>
      <c r="H27" s="163">
        <f>-Pharmacy!I57*Tables12!H$41</f>
        <v>1.7041381598181418</v>
      </c>
      <c r="I27" s="163">
        <f>G27+H27</f>
        <v>6.349260160965061</v>
      </c>
    </row>
    <row r="28" spans="1:20" x14ac:dyDescent="0.2">
      <c r="A28" s="14" t="s">
        <v>211</v>
      </c>
      <c r="B28" s="14"/>
      <c r="C28" s="164">
        <f>-Brands!H56*C$41</f>
        <v>-3.0578480730915709</v>
      </c>
      <c r="E28" s="165">
        <f>C28+D28</f>
        <v>-3.0578480730915709</v>
      </c>
      <c r="G28" s="164">
        <f>-Brands!I56*G$41</f>
        <v>-10.625746423552311</v>
      </c>
      <c r="I28" s="165">
        <f>G28+H28</f>
        <v>-10.625746423552311</v>
      </c>
      <c r="K28" s="174"/>
      <c r="L28" s="174"/>
      <c r="M28" s="174"/>
      <c r="N28" s="174"/>
      <c r="O28" s="174"/>
      <c r="P28" s="174"/>
      <c r="Q28" s="174"/>
      <c r="R28" s="174"/>
      <c r="S28" s="174"/>
      <c r="T28" s="174"/>
    </row>
    <row r="29" spans="1:20" x14ac:dyDescent="0.2">
      <c r="A29" s="14" t="s">
        <v>201</v>
      </c>
      <c r="B29" s="14"/>
      <c r="C29" s="164"/>
      <c r="D29" s="165">
        <f>-Pharmacy!H58*Tables12!D$41</f>
        <v>-0.30694912791828366</v>
      </c>
      <c r="E29" s="165">
        <f>C29+D29</f>
        <v>-0.30694912791828366</v>
      </c>
      <c r="G29" s="164"/>
      <c r="H29" s="165">
        <f>-Pharmacy!I58*Tables12!H$41</f>
        <v>-0.97748198112528684</v>
      </c>
      <c r="I29" s="165">
        <f>G29+H29</f>
        <v>-0.97748198112528684</v>
      </c>
      <c r="K29" s="77"/>
      <c r="L29" s="77"/>
      <c r="M29" s="77"/>
      <c r="N29" s="77"/>
      <c r="O29" s="77"/>
      <c r="P29" s="77"/>
      <c r="Q29" s="77"/>
      <c r="R29" s="77"/>
      <c r="S29" s="77"/>
      <c r="T29" s="77"/>
    </row>
    <row r="30" spans="1:20" x14ac:dyDescent="0.2">
      <c r="A30" s="14" t="s">
        <v>210</v>
      </c>
      <c r="B30" s="14"/>
      <c r="C30" s="164">
        <f>-Brands!H57*C$41</f>
        <v>4.3200189371583742</v>
      </c>
      <c r="D30" s="165">
        <f>-Pharmacy!H59*Tables12!D$41</f>
        <v>0.83345306561189958</v>
      </c>
      <c r="E30" s="165">
        <f>C30+D30</f>
        <v>5.1534720027702736</v>
      </c>
      <c r="G30" s="164">
        <f>-Brands!I57*G$41</f>
        <v>15.27086842469922</v>
      </c>
      <c r="H30" s="165">
        <f>-Pharmacy!I59*Tables12!H$41</f>
        <v>2.6816201409434299</v>
      </c>
      <c r="I30" s="165">
        <f>G30+H30</f>
        <v>17.95248856564265</v>
      </c>
    </row>
    <row r="31" spans="1:20" x14ac:dyDescent="0.2">
      <c r="A31" s="130" t="s">
        <v>359</v>
      </c>
      <c r="B31" s="17"/>
      <c r="C31" s="132">
        <f>SUM(C32:C34)</f>
        <v>1.8042334472003785</v>
      </c>
      <c r="D31" s="132">
        <f>SUM(D32:D34)</f>
        <v>-0.20177540414301781</v>
      </c>
      <c r="E31" s="163">
        <f>C31+D31</f>
        <v>1.6024580430573607</v>
      </c>
      <c r="F31" s="17"/>
      <c r="G31" s="132">
        <f>SUM(G32:G34)</f>
        <v>5.9966295816398407</v>
      </c>
      <c r="H31" s="132">
        <f>SUM(H32:H34)</f>
        <v>0.20036322657581673</v>
      </c>
      <c r="I31" s="163">
        <f>G31+H31</f>
        <v>6.1969928082156578</v>
      </c>
      <c r="M31" s="38"/>
      <c r="N31" s="38"/>
      <c r="O31" s="38"/>
      <c r="S31" s="38"/>
    </row>
    <row r="32" spans="1:20" x14ac:dyDescent="0.2">
      <c r="A32" s="14" t="s">
        <v>203</v>
      </c>
      <c r="B32" s="77"/>
      <c r="C32" s="39">
        <f>-Brands!H59*C$41</f>
        <v>6.4170841988896707E-2</v>
      </c>
      <c r="D32" s="165">
        <f>-Pharmacy!H63*Tables12!D$41</f>
        <v>0.13938204790810527</v>
      </c>
      <c r="E32" s="165">
        <f t="shared" ref="E32:E34" si="2">C32+D32</f>
        <v>0.20355288989700199</v>
      </c>
      <c r="G32" s="39">
        <f>-Brands!I59*G$41</f>
        <v>0.21952636997190536</v>
      </c>
      <c r="H32" s="165">
        <f>-Pharmacy!I63*Tables12!H$41</f>
        <v>0.42955866071220294</v>
      </c>
      <c r="I32" s="165">
        <f t="shared" ref="I32:I34" si="3">G32+H32</f>
        <v>0.64908503068410828</v>
      </c>
    </row>
    <row r="33" spans="1:14" x14ac:dyDescent="0.2">
      <c r="A33" s="14" t="s">
        <v>204</v>
      </c>
      <c r="B33" s="77"/>
      <c r="C33" s="39">
        <f>Brands!H69*C$41</f>
        <v>1.2500864897274808</v>
      </c>
      <c r="D33" s="165">
        <f>-Pharmacy!H67*Tables12!D$41</f>
        <v>-0.34115745205112308</v>
      </c>
      <c r="E33" s="165">
        <f t="shared" si="2"/>
        <v>0.90892903767635769</v>
      </c>
      <c r="G33" s="39">
        <f>Brands!I69*G$41</f>
        <v>4.0653337451915519</v>
      </c>
      <c r="H33" s="165">
        <f>-Pharmacy!I67*Tables12!H$41</f>
        <v>-0.22919543413638621</v>
      </c>
      <c r="I33" s="165">
        <f t="shared" si="3"/>
        <v>3.8361383110551657</v>
      </c>
    </row>
    <row r="34" spans="1:14" x14ac:dyDescent="0.2">
      <c r="A34" s="131" t="s">
        <v>205</v>
      </c>
      <c r="B34" s="106"/>
      <c r="C34" s="40">
        <f>-Brands!H70*C$41</f>
        <v>0.48997611548400111</v>
      </c>
      <c r="D34" s="135"/>
      <c r="E34" s="166">
        <f t="shared" si="2"/>
        <v>0.48997611548400111</v>
      </c>
      <c r="G34" s="40">
        <f>-Brands!I70*G$41</f>
        <v>1.7117694664763834</v>
      </c>
      <c r="H34" s="135"/>
      <c r="I34" s="166">
        <f t="shared" si="3"/>
        <v>1.7117694664763834</v>
      </c>
      <c r="L34" s="8"/>
      <c r="M34" s="8"/>
      <c r="N34" s="8"/>
    </row>
    <row r="35" spans="1:14" x14ac:dyDescent="0.2">
      <c r="A35" s="130" t="s">
        <v>227</v>
      </c>
      <c r="B35" s="130"/>
      <c r="C35" s="132">
        <f>C27+C31</f>
        <v>3.0664043112671813</v>
      </c>
      <c r="D35" s="132">
        <f>D27+D31</f>
        <v>0.324728533550597</v>
      </c>
      <c r="E35" s="132">
        <f>E27+E31</f>
        <v>3.3911328448177782</v>
      </c>
      <c r="F35" s="17"/>
      <c r="G35" s="132">
        <f>G27+G31</f>
        <v>10.64175158278676</v>
      </c>
      <c r="H35" s="132">
        <f>H27+H31</f>
        <v>1.9045013863939584</v>
      </c>
      <c r="I35" s="132">
        <f>I27+I31</f>
        <v>12.546252969180719</v>
      </c>
      <c r="L35" s="133"/>
      <c r="M35" s="133"/>
      <c r="N35" s="133"/>
    </row>
    <row r="37" spans="1:14" ht="16" customHeight="1" x14ac:dyDescent="0.2">
      <c r="A37" s="173" t="s">
        <v>360</v>
      </c>
      <c r="B37" s="173"/>
      <c r="C37" s="173"/>
      <c r="D37" s="173"/>
      <c r="E37" s="173"/>
      <c r="F37" s="173"/>
      <c r="G37" s="173"/>
      <c r="H37" s="173"/>
      <c r="I37" s="173"/>
    </row>
    <row r="38" spans="1:14" x14ac:dyDescent="0.2">
      <c r="A38" s="173"/>
      <c r="B38" s="173"/>
      <c r="C38" s="173"/>
      <c r="D38" s="173"/>
      <c r="E38" s="173"/>
      <c r="F38" s="173"/>
      <c r="G38" s="173"/>
      <c r="H38" s="173"/>
      <c r="I38" s="173"/>
    </row>
    <row r="39" spans="1:14" x14ac:dyDescent="0.2">
      <c r="A39" s="173"/>
      <c r="B39" s="173"/>
      <c r="C39" s="173"/>
      <c r="D39" s="173"/>
      <c r="E39" s="173"/>
      <c r="F39" s="173"/>
      <c r="G39" s="173"/>
      <c r="H39" s="173"/>
      <c r="I39" s="173"/>
    </row>
    <row r="40" spans="1:14" x14ac:dyDescent="0.2">
      <c r="A40" s="173"/>
      <c r="B40" s="173"/>
      <c r="C40" s="173"/>
      <c r="D40" s="173"/>
      <c r="E40" s="173"/>
      <c r="F40" s="173"/>
      <c r="G40" s="173"/>
      <c r="H40" s="173"/>
      <c r="I40" s="173"/>
    </row>
    <row r="41" spans="1:14" x14ac:dyDescent="0.2">
      <c r="C41" s="133">
        <f>BackgroundInfo1!$B$10</f>
        <v>31</v>
      </c>
      <c r="D41">
        <f>BackgroundInfo1!$B$22</f>
        <v>9</v>
      </c>
      <c r="G41">
        <f>C41</f>
        <v>31</v>
      </c>
      <c r="H41">
        <f>D41</f>
        <v>9</v>
      </c>
    </row>
    <row r="48" spans="1:14" x14ac:dyDescent="0.2">
      <c r="C48" s="38"/>
      <c r="D48" s="38"/>
    </row>
    <row r="49" spans="3:4" x14ac:dyDescent="0.2">
      <c r="C49" s="12"/>
      <c r="D49" s="12"/>
    </row>
  </sheetData>
  <mergeCells count="14">
    <mergeCell ref="K1:T1"/>
    <mergeCell ref="K2:T2"/>
    <mergeCell ref="C3:E3"/>
    <mergeCell ref="G3:I3"/>
    <mergeCell ref="E2:I2"/>
    <mergeCell ref="A37:I40"/>
    <mergeCell ref="K16:S18"/>
    <mergeCell ref="K28:T28"/>
    <mergeCell ref="M3:O3"/>
    <mergeCell ref="Q3:S3"/>
    <mergeCell ref="C25:E25"/>
    <mergeCell ref="G25:I25"/>
    <mergeCell ref="A18:I21"/>
    <mergeCell ref="E24:I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1D9C2-7E65-7449-B020-F16898633D64}">
  <dimension ref="A1:N81"/>
  <sheetViews>
    <sheetView showGridLines="0" zoomScaleNormal="100" workbookViewId="0">
      <pane xSplit="2" ySplit="22" topLeftCell="C23" activePane="bottomRight" state="frozen"/>
      <selection pane="topRight" activeCell="C1" sqref="C1"/>
      <selection pane="bottomLeft" activeCell="A21" sqref="A21"/>
      <selection pane="bottomRight" activeCell="A23" sqref="A23"/>
    </sheetView>
  </sheetViews>
  <sheetFormatPr baseColWidth="10" defaultRowHeight="16" x14ac:dyDescent="0.2"/>
  <cols>
    <col min="1" max="1" width="43.33203125" bestFit="1" customWidth="1"/>
    <col min="2" max="2" width="18.83203125" customWidth="1"/>
    <col min="3" max="3" width="10.5" bestFit="1" customWidth="1"/>
    <col min="11" max="12" width="10.83203125" hidden="1" customWidth="1"/>
  </cols>
  <sheetData>
    <row r="1" spans="1:9" x14ac:dyDescent="0.2">
      <c r="A1" s="117" t="s">
        <v>370</v>
      </c>
      <c r="B1" s="118"/>
      <c r="C1" s="118"/>
      <c r="D1" s="118"/>
      <c r="E1" s="118"/>
      <c r="F1" s="118"/>
      <c r="G1" s="118"/>
      <c r="H1" s="118"/>
      <c r="I1" s="118"/>
    </row>
    <row r="2" spans="1:9" x14ac:dyDescent="0.2">
      <c r="A2" s="119" t="s">
        <v>37</v>
      </c>
      <c r="B2" s="118"/>
      <c r="C2" s="118"/>
      <c r="D2" s="118"/>
      <c r="E2" s="118"/>
      <c r="F2" s="118"/>
      <c r="G2" s="118"/>
      <c r="H2" s="118"/>
      <c r="I2" s="118"/>
    </row>
    <row r="3" spans="1:9" x14ac:dyDescent="0.2">
      <c r="A3" s="122" t="s">
        <v>129</v>
      </c>
      <c r="B3" s="118"/>
      <c r="C3" s="118"/>
      <c r="D3" s="118"/>
      <c r="E3" s="118"/>
      <c r="F3" s="118"/>
      <c r="G3" s="118"/>
      <c r="H3" s="118"/>
      <c r="I3" s="118"/>
    </row>
    <row r="4" spans="1:9" x14ac:dyDescent="0.2">
      <c r="A4" s="122" t="s">
        <v>130</v>
      </c>
      <c r="B4" s="118"/>
      <c r="C4" s="118"/>
      <c r="D4" s="118"/>
      <c r="E4" s="118"/>
      <c r="F4" s="118"/>
      <c r="G4" s="118"/>
      <c r="H4" s="118"/>
      <c r="I4" s="118"/>
    </row>
    <row r="5" spans="1:9" x14ac:dyDescent="0.2">
      <c r="A5" s="118"/>
      <c r="B5" s="118"/>
      <c r="C5" s="118"/>
      <c r="D5" s="118"/>
      <c r="E5" s="118"/>
      <c r="F5" s="118"/>
      <c r="G5" s="118"/>
      <c r="H5" s="118"/>
      <c r="I5" s="118"/>
    </row>
    <row r="6" spans="1:9" x14ac:dyDescent="0.2">
      <c r="A6" s="120" t="s">
        <v>1</v>
      </c>
      <c r="B6" s="123" t="s">
        <v>2</v>
      </c>
      <c r="C6" s="180" t="s">
        <v>3</v>
      </c>
      <c r="D6" s="180"/>
      <c r="E6" s="180"/>
      <c r="F6" s="180"/>
      <c r="G6" s="120"/>
      <c r="H6" s="120"/>
      <c r="I6" s="120"/>
    </row>
    <row r="7" spans="1:9" x14ac:dyDescent="0.2">
      <c r="A7" s="118" t="s">
        <v>0</v>
      </c>
      <c r="B7" s="4">
        <v>-0.5</v>
      </c>
      <c r="C7" s="183" t="s">
        <v>6</v>
      </c>
      <c r="D7" s="184"/>
      <c r="E7" s="184"/>
      <c r="F7" s="184"/>
      <c r="G7" s="184"/>
      <c r="H7" s="118"/>
      <c r="I7" s="118"/>
    </row>
    <row r="8" spans="1:9" x14ac:dyDescent="0.2">
      <c r="A8" s="118" t="s">
        <v>5</v>
      </c>
      <c r="B8" s="4">
        <v>-1.2</v>
      </c>
      <c r="C8" s="183" t="s">
        <v>4</v>
      </c>
      <c r="D8" s="184"/>
      <c r="E8" s="184"/>
      <c r="F8" s="184"/>
      <c r="G8" s="184"/>
      <c r="H8" s="118"/>
      <c r="I8" s="118"/>
    </row>
    <row r="9" spans="1:9" x14ac:dyDescent="0.2">
      <c r="A9" s="118" t="s">
        <v>18</v>
      </c>
      <c r="B9" s="9">
        <v>0.3</v>
      </c>
      <c r="C9" s="183" t="s">
        <v>16</v>
      </c>
      <c r="D9" s="184"/>
      <c r="E9" s="184"/>
      <c r="F9" s="184"/>
      <c r="G9" s="184"/>
      <c r="H9" s="118"/>
      <c r="I9" s="118"/>
    </row>
    <row r="10" spans="1:9" x14ac:dyDescent="0.2">
      <c r="A10" s="118"/>
      <c r="B10" s="118"/>
      <c r="C10" s="124"/>
      <c r="D10" s="124"/>
      <c r="E10" s="124"/>
      <c r="F10" s="118"/>
      <c r="G10" s="118"/>
      <c r="H10" s="118"/>
      <c r="I10" s="118"/>
    </row>
    <row r="11" spans="1:9" x14ac:dyDescent="0.2">
      <c r="A11" s="118"/>
      <c r="B11" s="118"/>
      <c r="C11" s="118"/>
      <c r="D11" s="118"/>
      <c r="E11" s="118"/>
      <c r="F11" s="118"/>
      <c r="G11" s="118"/>
      <c r="H11" s="118"/>
      <c r="I11" s="118"/>
    </row>
    <row r="12" spans="1:9" x14ac:dyDescent="0.2">
      <c r="A12" s="118" t="s">
        <v>7</v>
      </c>
      <c r="B12" s="118">
        <f>B7-B8</f>
        <v>0.7</v>
      </c>
      <c r="C12" s="118"/>
      <c r="D12" s="118"/>
      <c r="E12" s="118"/>
      <c r="F12" s="118"/>
      <c r="G12" s="118"/>
      <c r="H12" s="118"/>
      <c r="I12" s="118"/>
    </row>
    <row r="13" spans="1:9" x14ac:dyDescent="0.2">
      <c r="A13" s="118" t="s">
        <v>14</v>
      </c>
      <c r="B13" s="125">
        <f>-0.5*(B7+B8)/(2*B8*B8+B8-B7)</f>
        <v>0.38990825688073399</v>
      </c>
      <c r="C13" s="118"/>
      <c r="D13" s="118"/>
      <c r="E13" s="118"/>
      <c r="F13" s="118"/>
      <c r="G13" s="118"/>
      <c r="H13" s="118"/>
      <c r="I13" s="118"/>
    </row>
    <row r="14" spans="1:9" x14ac:dyDescent="0.2">
      <c r="A14" s="118" t="s">
        <v>15</v>
      </c>
      <c r="B14" s="125"/>
      <c r="C14" s="118"/>
      <c r="D14" s="118"/>
      <c r="E14" s="118"/>
      <c r="F14" s="118"/>
      <c r="G14" s="118"/>
      <c r="H14" s="118"/>
      <c r="I14" s="118"/>
    </row>
    <row r="15" spans="1:9" x14ac:dyDescent="0.2">
      <c r="A15" s="126" t="s">
        <v>11</v>
      </c>
      <c r="B15" s="125">
        <f>MAX(0,-1-4*MIN(B$9,B$13)*(2*B$8*B$8+B$8-B$7)/(B$7+B$8))</f>
        <v>0.53882352941176448</v>
      </c>
      <c r="C15" s="118"/>
      <c r="D15" s="118"/>
      <c r="E15" s="118"/>
      <c r="F15" s="118"/>
      <c r="G15" s="118"/>
      <c r="H15" s="118"/>
      <c r="I15" s="118"/>
    </row>
    <row r="16" spans="1:9" x14ac:dyDescent="0.2">
      <c r="A16" s="126" t="s">
        <v>12</v>
      </c>
      <c r="B16" s="125">
        <v>1</v>
      </c>
      <c r="C16" s="118"/>
      <c r="D16" s="118"/>
      <c r="E16" s="118"/>
      <c r="F16" s="118"/>
      <c r="G16" s="118"/>
      <c r="H16" s="118"/>
      <c r="I16" s="118"/>
    </row>
    <row r="17" spans="1:12" x14ac:dyDescent="0.2">
      <c r="A17" s="126" t="s">
        <v>13</v>
      </c>
      <c r="B17" s="125">
        <f>AVERAGE(B15:B16)</f>
        <v>0.76941176470588224</v>
      </c>
      <c r="C17" s="118"/>
      <c r="D17" s="118"/>
      <c r="E17" s="118"/>
      <c r="F17" s="118"/>
      <c r="G17" s="118"/>
      <c r="H17" s="118"/>
      <c r="I17" s="118"/>
    </row>
    <row r="18" spans="1:12" x14ac:dyDescent="0.2">
      <c r="A18" s="124" t="s">
        <v>39</v>
      </c>
      <c r="B18" s="127">
        <f>AVERAGE(1,B$7/B$8)</f>
        <v>0.70833333333333337</v>
      </c>
      <c r="C18" s="118"/>
      <c r="D18" s="118"/>
      <c r="E18" s="118"/>
      <c r="F18" s="118"/>
      <c r="G18" s="118"/>
      <c r="H18" s="118"/>
      <c r="I18" s="118"/>
    </row>
    <row r="19" spans="1:12" x14ac:dyDescent="0.2">
      <c r="C19" s="181" t="str">
        <f>IF($K$25&gt;0,"Warning: "&amp;TEXT($K$25,"0")&amp;" scenario"&amp;IF($K$25=1," ("&amp;LEFT($K$24,LEN($K$24)-2)&amp;")"&amp;" has a target rebate rate that is","s ("&amp;LEFT($K$24,LEN($K$24)-2)&amp;")"&amp;" have target rebate rates that are")&amp;" not supported unless brands are less substitutable.  To achieve target rates, edit the red-highlighted demand parameters or the red-highlighted target rebate rates.","")</f>
        <v/>
      </c>
      <c r="D19" s="181"/>
      <c r="E19" s="181"/>
      <c r="F19" s="181"/>
      <c r="G19" s="181"/>
      <c r="H19" s="181"/>
      <c r="I19" s="181"/>
      <c r="J19" s="181"/>
    </row>
    <row r="20" spans="1:12" x14ac:dyDescent="0.2">
      <c r="C20" s="181"/>
      <c r="D20" s="181"/>
      <c r="E20" s="181"/>
      <c r="F20" s="181"/>
      <c r="G20" s="181"/>
      <c r="H20" s="181"/>
      <c r="I20" s="181"/>
      <c r="J20" s="181"/>
    </row>
    <row r="21" spans="1:12" x14ac:dyDescent="0.2">
      <c r="C21" s="177" t="s">
        <v>8</v>
      </c>
      <c r="D21" s="177"/>
      <c r="E21" s="177"/>
      <c r="G21" s="177" t="s">
        <v>29</v>
      </c>
      <c r="H21" s="177"/>
      <c r="I21" s="177"/>
    </row>
    <row r="22" spans="1:12" x14ac:dyDescent="0.2">
      <c r="B22" s="129" t="s">
        <v>10</v>
      </c>
      <c r="C22" s="6" t="s">
        <v>9</v>
      </c>
      <c r="D22" s="16" t="s">
        <v>349</v>
      </c>
      <c r="E22" s="16" t="s">
        <v>350</v>
      </c>
      <c r="G22" s="6" t="str">
        <f>C22</f>
        <v>Baseline</v>
      </c>
      <c r="H22" s="6" t="str">
        <f>D22</f>
        <v>Pgast low</v>
      </c>
      <c r="I22" s="6" t="str">
        <f>E22</f>
        <v>Lazear</v>
      </c>
    </row>
    <row r="23" spans="1:12" x14ac:dyDescent="0.2">
      <c r="B23" s="18" t="str">
        <f>IF($K$25=0,"","Rebate rate (brands)")</f>
        <v/>
      </c>
      <c r="C23" s="2"/>
      <c r="D23" s="2"/>
      <c r="E23" s="2"/>
      <c r="G23" s="2"/>
      <c r="H23" s="2"/>
      <c r="I23" s="2"/>
      <c r="K23" t="s">
        <v>33</v>
      </c>
    </row>
    <row r="24" spans="1:12" x14ac:dyDescent="0.2">
      <c r="B24" s="14" t="str">
        <f>IF($K$25=0,"Rebate rate (brands)","Target")</f>
        <v>Rebate rate (brands)</v>
      </c>
      <c r="C24" s="7">
        <f>$B$9</f>
        <v>0.3</v>
      </c>
      <c r="D24" s="13">
        <f>C24/1.09</f>
        <v>0.2752293577981651</v>
      </c>
      <c r="E24" s="13">
        <f>C24/1.44</f>
        <v>0.20833333333333334</v>
      </c>
      <c r="G24" s="2"/>
      <c r="H24" s="2"/>
      <c r="I24" s="2"/>
      <c r="K24" t="str" cm="1">
        <f t="array" ref="K24">IF(K25=0,"",IF(K$33,"see the red cells below",_xlfn.CONCAT(TRANSPOSE(_xlfn._xlws.FILTER(C22:E22,C24:E24&gt;$B$13)&amp;", "))))</f>
        <v/>
      </c>
      <c r="L24" t="s">
        <v>34</v>
      </c>
    </row>
    <row r="25" spans="1:12" x14ac:dyDescent="0.2">
      <c r="B25" s="14" t="str">
        <f>IF($K$25=0,"","Actual")</f>
        <v/>
      </c>
      <c r="C25" s="7">
        <f>MIN(C24,$B$13)</f>
        <v>0.3</v>
      </c>
      <c r="D25" s="7">
        <f>MIN(D24,$B$13)</f>
        <v>0.2752293577981651</v>
      </c>
      <c r="E25" s="7">
        <f>MIN(E24,$B$13)</f>
        <v>0.20833333333333334</v>
      </c>
      <c r="G25" s="7"/>
      <c r="H25" s="7"/>
      <c r="I25" s="7"/>
      <c r="K25">
        <f>COUNTIF(C24:E24,"&gt;"&amp;$B$13)</f>
        <v>0</v>
      </c>
      <c r="L25" t="s">
        <v>35</v>
      </c>
    </row>
    <row r="26" spans="1:12" x14ac:dyDescent="0.2">
      <c r="B26" s="2" t="s">
        <v>17</v>
      </c>
      <c r="C26" s="9">
        <f>B17</f>
        <v>0.76941176470588224</v>
      </c>
      <c r="D26" s="7">
        <f>C26</f>
        <v>0.76941176470588224</v>
      </c>
      <c r="E26" s="7">
        <f>D26</f>
        <v>0.76941176470588224</v>
      </c>
      <c r="K26">
        <f>IF(K25&gt;0,0,-9999999999)</f>
        <v>-9999999999</v>
      </c>
      <c r="L26" t="s">
        <v>36</v>
      </c>
    </row>
    <row r="27" spans="1:12" hidden="1" x14ac:dyDescent="0.2">
      <c r="B27" s="10" t="s">
        <v>28</v>
      </c>
      <c r="C27" s="11"/>
      <c r="D27" s="11"/>
      <c r="E27" s="11"/>
    </row>
    <row r="28" spans="1:12" hidden="1" x14ac:dyDescent="0.2">
      <c r="B28" s="10" t="s">
        <v>20</v>
      </c>
      <c r="C28" s="11">
        <f>($B$7+$B$8)*(4*C$26*$B$8+3*$B$7-3*C$26*$B$7)</f>
        <v>6.8663999999999978</v>
      </c>
      <c r="D28" s="11">
        <f t="shared" ref="D28:E32" si="0">C28</f>
        <v>6.8663999999999978</v>
      </c>
      <c r="E28" s="11">
        <f t="shared" si="0"/>
        <v>6.8663999999999978</v>
      </c>
    </row>
    <row r="29" spans="1:12" hidden="1" x14ac:dyDescent="0.2">
      <c r="B29" s="10" t="s">
        <v>19</v>
      </c>
      <c r="C29" s="11">
        <f>8*$B$8*($B$7+$B$8)*(4*$B$8*$B$8*(2*$B$7-$B$8+(1+3*$B$8-2*$B$7)*C$26)+3*$B$7*($B$8-$B$7+C$26*$B$7+2*$B$7*$B$8)-C$26*$B$7*$B$8*(7+6*$B$7))</f>
        <v>-129.88154879999996</v>
      </c>
      <c r="D29" s="11">
        <f t="shared" si="0"/>
        <v>-129.88154879999996</v>
      </c>
      <c r="E29" s="11">
        <f t="shared" si="0"/>
        <v>-129.88154879999996</v>
      </c>
    </row>
    <row r="30" spans="1:12" hidden="1" x14ac:dyDescent="0.2">
      <c r="B30" s="10" t="s">
        <v>21</v>
      </c>
      <c r="C30" s="11">
        <f>(4*$B$8*($B$7+(2*$B$7-1)*$B$8))^2</f>
        <v>83.174399999999991</v>
      </c>
      <c r="D30" s="11">
        <f t="shared" si="0"/>
        <v>83.174399999999991</v>
      </c>
      <c r="E30" s="11">
        <f t="shared" si="0"/>
        <v>83.174399999999991</v>
      </c>
    </row>
    <row r="31" spans="1:12" hidden="1" x14ac:dyDescent="0.2">
      <c r="B31" s="10" t="s">
        <v>22</v>
      </c>
      <c r="C31" s="11">
        <f>4*$B$8*((4*$B$8+1)*$B$8+(2*$B$8-1)*$B$7)</f>
        <v>-30.047999999999998</v>
      </c>
      <c r="D31" s="11">
        <f t="shared" si="0"/>
        <v>-30.047999999999998</v>
      </c>
      <c r="E31" s="11">
        <f t="shared" si="0"/>
        <v>-30.047999999999998</v>
      </c>
    </row>
    <row r="32" spans="1:12" hidden="1" x14ac:dyDescent="0.2">
      <c r="B32" s="10" t="s">
        <v>25</v>
      </c>
      <c r="C32" s="11">
        <f>2*($B$8+1)*$B$7*$B$8/(($B$7+$B$8)*($B$7+$B$8))</f>
        <v>-8.3044982698961919E-2</v>
      </c>
      <c r="D32" s="11">
        <f t="shared" si="0"/>
        <v>-8.3044982698961919E-2</v>
      </c>
      <c r="E32" s="11">
        <f t="shared" si="0"/>
        <v>-8.3044982698961919E-2</v>
      </c>
    </row>
    <row r="33" spans="2:12" x14ac:dyDescent="0.2">
      <c r="B33" s="2" t="s">
        <v>23</v>
      </c>
      <c r="C33">
        <f>(C$28+C$25*C$31+SQRT(C$28*C$28+C$29*C$25+C$30*C$25*C$25))*$B$7*($B$8+1)/(8*C$25*$B$8*$B$8*($B$7+$B$8)*($B$7+$B$8))</f>
        <v>1.8125724792777957E-2</v>
      </c>
      <c r="D33">
        <f>(D$28+D$25*D$31+SQRT(D$28*D$28+D$29*D$25+D$30*D$25*D$25))*$B$7*($B$8+1)/(8*D$25*$B$8*$B$8*($B$7+$B$8)*($B$7+$B$8))</f>
        <v>3.0595784401711099E-2</v>
      </c>
      <c r="E33">
        <f>(E$28+E$25*E$31+SQRT(E$28*E$28+E$29*E$25+E$30*E$25*E$25))*$B$7*($B$8+1)/(8*E$25*$B$8*$B$8*($B$7+$B$8)*($B$7+$B$8))</f>
        <v>7.8929362831919966E-2</v>
      </c>
      <c r="K33" t="b">
        <f ca="1">VALUE(INFO("RELEASE"))&lt;16.2</f>
        <v>0</v>
      </c>
      <c r="L33" t="s">
        <v>234</v>
      </c>
    </row>
    <row r="34" spans="2:12" x14ac:dyDescent="0.2">
      <c r="B34" s="20" t="s">
        <v>38</v>
      </c>
      <c r="C34" s="21"/>
      <c r="D34" s="21"/>
      <c r="E34" s="21"/>
      <c r="F34" s="21"/>
      <c r="G34" s="21"/>
      <c r="H34" s="21"/>
      <c r="I34" s="21"/>
    </row>
    <row r="35" spans="2:12" x14ac:dyDescent="0.2">
      <c r="B35" s="22" t="s">
        <v>118</v>
      </c>
      <c r="C35" s="23">
        <f>(C$33*$B$8/($B$7+$B$8)-C$32)/(C$33-C$32)</f>
        <v>0.94730593805798102</v>
      </c>
      <c r="D35" s="23">
        <f>(D33*$B$8/($B$7+$B$8)-D$32)/(D33-D$32)</f>
        <v>0.92081397945705157</v>
      </c>
      <c r="E35" s="23">
        <f>(E33*$B$8/($B$7+$B$8)-E$32)/(E33-E$32)</f>
        <v>0.8566778065755456</v>
      </c>
      <c r="F35" s="21"/>
      <c r="G35" s="24">
        <f>C35/$C35-1</f>
        <v>0</v>
      </c>
      <c r="H35" s="25">
        <f>D35/$C35-1</f>
        <v>-2.7965578528135415E-2</v>
      </c>
      <c r="I35" s="25">
        <f>E35/$C35-1</f>
        <v>-9.5669337477422678E-2</v>
      </c>
    </row>
    <row r="36" spans="2:12" x14ac:dyDescent="0.2">
      <c r="B36" s="22" t="s">
        <v>26</v>
      </c>
      <c r="C36" s="23">
        <f>((C$33-C$32*($B$8+1)/$B$8)/(C$33-C$32))*$B$8/($B$8+1)</f>
        <v>1.8957990530143249</v>
      </c>
      <c r="D36" s="23">
        <f>((D$33-D$32*($B$8+1)/$B$8)/(D$33-D$32))*$B$8/($B$8+1)</f>
        <v>2.3461623492301253</v>
      </c>
      <c r="E36" s="23">
        <f>((E$33-E$32*($B$8+1)/$B$8)/(E$33-E$32))*$B$8/($B$8+1)</f>
        <v>3.4364772882157246</v>
      </c>
      <c r="F36" s="21"/>
      <c r="G36" s="24">
        <f>C36/$C36-1</f>
        <v>0</v>
      </c>
      <c r="H36" s="25">
        <f>D36/$C36-1</f>
        <v>0.23755856165226041</v>
      </c>
      <c r="I36" s="25">
        <f>E36/$C36-1</f>
        <v>0.81268013756611901</v>
      </c>
    </row>
    <row r="37" spans="2:12" x14ac:dyDescent="0.2">
      <c r="B37" s="22" t="s">
        <v>27</v>
      </c>
      <c r="C37" s="23">
        <f>(C$33*$B$8/($B$8+1)-(2*$B$8*$B$8+$B$8-$B$7)*$B$7/(($B$7+$B$8)*($B$7+$B$8)))/(C$33-C$32)</f>
        <v>4.8029413904625127</v>
      </c>
      <c r="D37" s="23">
        <f>(D$33*$B$8/($B$8+1)-(2*$B$8*$B$8+$B$8-$B$7)*$B$7/(($B$7+$B$8)*($B$7+$B$8)))/(D$33-D$32)</f>
        <v>4.9342973518587874</v>
      </c>
      <c r="E37" s="23">
        <f>(E$33*$B$8/($B$8+1)-(2*$B$8*$B$8+$B$8-$B$7)*$B$7/(($B$7+$B$8)*($B$7+$B$8)))/(E$33-E$32)</f>
        <v>5.2523058757295873</v>
      </c>
      <c r="F37" s="21"/>
      <c r="G37" s="24">
        <f>C37/$C37-1</f>
        <v>0</v>
      </c>
      <c r="H37" s="25">
        <f>D37/$C37-1</f>
        <v>2.7349066065456507E-2</v>
      </c>
      <c r="I37" s="25">
        <f>E37/$C37-1</f>
        <v>9.3560268330445284E-2</v>
      </c>
    </row>
    <row r="38" spans="2:12" x14ac:dyDescent="0.2">
      <c r="B38" s="22" t="s">
        <v>30</v>
      </c>
      <c r="C38" s="23">
        <f>(1-C$25)*C$37</f>
        <v>3.3620589733237587</v>
      </c>
      <c r="D38" s="23">
        <f>(1-D$25)*D$37</f>
        <v>3.5762338605215067</v>
      </c>
      <c r="E38" s="23">
        <f>(1-E$25)*E$37</f>
        <v>4.1580754849525894</v>
      </c>
      <c r="F38" s="21"/>
      <c r="G38" s="24">
        <f>C38/$C38-1</f>
        <v>0</v>
      </c>
      <c r="H38" s="25">
        <f>D38/$C38-1</f>
        <v>6.3703489111023304E-2</v>
      </c>
      <c r="I38" s="25">
        <f>E38/$C38-1</f>
        <v>0.2367645891832415</v>
      </c>
    </row>
    <row r="39" spans="2:12" x14ac:dyDescent="0.2">
      <c r="B39" s="18" t="s">
        <v>43</v>
      </c>
      <c r="C39" s="12"/>
      <c r="D39" s="12"/>
      <c r="E39" s="12"/>
      <c r="G39" s="3"/>
      <c r="H39" s="8"/>
      <c r="I39" s="8"/>
    </row>
    <row r="40" spans="2:12" x14ac:dyDescent="0.2">
      <c r="B40" s="2" t="s">
        <v>24</v>
      </c>
      <c r="C40" s="12">
        <f>2*C$35/(1-BackgroundInfo1!$B$5)-2*C$35</f>
        <v>17.051506885043661</v>
      </c>
      <c r="D40" s="12">
        <f>$C40+2*(D$35-$C$35)*($B$18-1)</f>
        <v>17.06696052756087</v>
      </c>
      <c r="E40" s="12">
        <f>$C40+2*(E$35-$C$35)*($B$18-1)</f>
        <v>17.104373295075082</v>
      </c>
      <c r="G40" s="3">
        <f>C40/$C40-1</f>
        <v>0</v>
      </c>
      <c r="H40" s="8">
        <f>D40/$C40-1</f>
        <v>9.062918967450706E-4</v>
      </c>
      <c r="I40" s="8">
        <f>E40/$C40-1</f>
        <v>3.1003951960275611E-3</v>
      </c>
    </row>
    <row r="41" spans="2:12" x14ac:dyDescent="0.2">
      <c r="B41" s="2" t="s">
        <v>44</v>
      </c>
      <c r="C41" s="12">
        <v>1</v>
      </c>
      <c r="D41" s="12">
        <f>C41</f>
        <v>1</v>
      </c>
      <c r="E41" s="12">
        <f>D41</f>
        <v>1</v>
      </c>
      <c r="G41" s="3">
        <f>C41/$C41-1</f>
        <v>0</v>
      </c>
      <c r="H41" s="3">
        <f>D41/$C41-1</f>
        <v>0</v>
      </c>
      <c r="I41" s="3">
        <f>E41/$C41-1</f>
        <v>0</v>
      </c>
    </row>
    <row r="42" spans="2:12" x14ac:dyDescent="0.2">
      <c r="B42" s="26" t="s">
        <v>45</v>
      </c>
      <c r="C42" s="27">
        <f>C$40+2*C$35</f>
        <v>18.946118761159624</v>
      </c>
      <c r="D42" s="27">
        <f>D$40+2*D$35</f>
        <v>18.908588486474972</v>
      </c>
      <c r="E42" s="27">
        <f>E$40+2*E$35</f>
        <v>18.817728908226172</v>
      </c>
      <c r="F42" s="28"/>
      <c r="G42" s="29">
        <f>G$35*(1-BackgroundInfo1!$B$5)*Brands!$B$18</f>
        <v>0</v>
      </c>
      <c r="H42" s="30">
        <f>D42/$C42-1</f>
        <v>-1.9808951457430668E-3</v>
      </c>
      <c r="I42" s="30">
        <f>E42/$C42-1</f>
        <v>-6.776578071317596E-3</v>
      </c>
    </row>
    <row r="43" spans="2:12" x14ac:dyDescent="0.2">
      <c r="B43" s="18" t="s">
        <v>117</v>
      </c>
    </row>
    <row r="44" spans="2:12" x14ac:dyDescent="0.2">
      <c r="B44" s="2" t="s">
        <v>38</v>
      </c>
      <c r="C44" s="12">
        <f>2*C$35*C$38</f>
        <v>6.3697968590614318</v>
      </c>
      <c r="D44" s="12">
        <f>2*D$35*D$38</f>
        <v>6.5860922651517262</v>
      </c>
      <c r="E44" s="12">
        <f>2*E$35*E$38</f>
        <v>7.1242619720494647</v>
      </c>
      <c r="G44" s="3">
        <f>C44/$C44-1</f>
        <v>0</v>
      </c>
      <c r="H44" s="8">
        <f>D44/$C44-1</f>
        <v>3.3956405655637401E-2</v>
      </c>
      <c r="I44" s="8">
        <f>E44/$C44-1</f>
        <v>0.11844414032054407</v>
      </c>
    </row>
    <row r="45" spans="2:12" x14ac:dyDescent="0.2">
      <c r="B45" s="2" t="s">
        <v>43</v>
      </c>
      <c r="C45" s="12">
        <f>C40*C41</f>
        <v>17.051506885043661</v>
      </c>
      <c r="D45" s="12">
        <f>D40*D41</f>
        <v>17.06696052756087</v>
      </c>
      <c r="E45" s="12">
        <f>E40*E41</f>
        <v>17.104373295075082</v>
      </c>
      <c r="G45" s="3">
        <f>C45/$C45-1</f>
        <v>0</v>
      </c>
      <c r="H45" s="8">
        <f>D45/$C45-1</f>
        <v>9.062918967450706E-4</v>
      </c>
      <c r="I45" s="8">
        <f>E45/$C45-1</f>
        <v>3.1003951960275611E-3</v>
      </c>
    </row>
    <row r="46" spans="2:12" x14ac:dyDescent="0.2">
      <c r="B46" s="2" t="s">
        <v>31</v>
      </c>
      <c r="C46" s="12">
        <f>C$33*(C$37-C$36)^2</f>
        <v>0.15318913840376094</v>
      </c>
      <c r="D46" s="12">
        <f>D$33*(D$37-D$36)^2</f>
        <v>0.20494411148607738</v>
      </c>
      <c r="E46" s="12">
        <f>E$33*(E$37-E$36)^2</f>
        <v>0.26024853604531567</v>
      </c>
      <c r="G46" s="3">
        <f>IF($C46&lt;0.000001,"",C46/$C46-1)</f>
        <v>0</v>
      </c>
      <c r="H46" s="8">
        <f>IF($C46&lt;0.000001,"",D46/$C46-1)</f>
        <v>0.3378501480040037</v>
      </c>
      <c r="I46" s="8">
        <f>IF($C46&lt;0.000001,"",E46/$C46-1)</f>
        <v>0.69887068206740643</v>
      </c>
    </row>
    <row r="47" spans="2:12" x14ac:dyDescent="0.2">
      <c r="B47" s="2" t="s">
        <v>32</v>
      </c>
      <c r="C47" s="12">
        <f>SUM(C44:C46)</f>
        <v>23.574492882508853</v>
      </c>
      <c r="D47" s="12">
        <f>SUM(D44:D46)</f>
        <v>23.857996904198675</v>
      </c>
      <c r="E47" s="12">
        <f>SUM(E44:E46)</f>
        <v>24.488883803169863</v>
      </c>
      <c r="G47" s="3">
        <f>C47/$C47-1</f>
        <v>0</v>
      </c>
      <c r="H47" s="8">
        <f>D47/$C47-1</f>
        <v>1.20258799670796E-2</v>
      </c>
      <c r="I47" s="8">
        <f>E47/$C47-1</f>
        <v>3.8787299697947919E-2</v>
      </c>
    </row>
    <row r="48" spans="2:12" x14ac:dyDescent="0.2">
      <c r="B48" s="51" t="s">
        <v>116</v>
      </c>
      <c r="C48" s="12"/>
      <c r="D48" s="12"/>
      <c r="E48" s="12"/>
      <c r="G48" s="3"/>
      <c r="H48" s="8"/>
      <c r="I48" s="8"/>
    </row>
    <row r="49" spans="2:9" x14ac:dyDescent="0.2">
      <c r="B49" s="52" t="s">
        <v>38</v>
      </c>
      <c r="C49" s="12">
        <f>C$35*2*C$37*BackgroundInfo1!$C$41</f>
        <v>0.87532504967398383</v>
      </c>
      <c r="D49" s="12">
        <f>D$35*2*D$37*MAX(0,BackgroundInfo1!$C$41)</f>
        <v>0.8741159238655406</v>
      </c>
      <c r="E49" s="12">
        <f>E$35*2*E$37*MAX(0,BackgroundInfo1!$C$41)</f>
        <v>0.86564402637291715</v>
      </c>
      <c r="G49" s="3">
        <f>C49/$C49-1</f>
        <v>0</v>
      </c>
      <c r="H49" s="3">
        <f>D49/$C49-1</f>
        <v>-1.3813449174036041E-3</v>
      </c>
      <c r="I49" s="3">
        <f>E49/$C49-1</f>
        <v>-1.105991803236106E-2</v>
      </c>
    </row>
    <row r="50" spans="2:9" x14ac:dyDescent="0.2">
      <c r="B50" s="2" t="s">
        <v>43</v>
      </c>
      <c r="C50" s="12">
        <f>C$45*BackgroundInfo1!$C$41</f>
        <v>1.6402293525191713</v>
      </c>
      <c r="D50" s="12">
        <f>D$45*BackgroundInfo1!$C$41</f>
        <v>1.6417158790901629</v>
      </c>
      <c r="E50" s="12">
        <f>E$45*BackgroundInfo1!$C$41</f>
        <v>1.6453147117241052</v>
      </c>
      <c r="G50" s="3">
        <f>C50/$C50-1</f>
        <v>0</v>
      </c>
      <c r="H50" s="8">
        <f>D50/$C50-1</f>
        <v>9.062918967450706E-4</v>
      </c>
      <c r="I50" s="8">
        <f>E50/$C50-1</f>
        <v>3.1003951960275611E-3</v>
      </c>
    </row>
    <row r="51" spans="2:9" x14ac:dyDescent="0.2">
      <c r="B51" s="31" t="s">
        <v>48</v>
      </c>
      <c r="C51" s="32">
        <f>C$25*2*C$35*C$37</f>
        <v>2.7299129395977566</v>
      </c>
      <c r="D51" s="32">
        <f>D$25*2*D$35*D$37</f>
        <v>2.5010476956272374</v>
      </c>
      <c r="E51" s="32">
        <f>E$25*2*E$35*E$37</f>
        <v>1.8748057821182804</v>
      </c>
      <c r="F51" s="33"/>
      <c r="G51" s="34">
        <f>C51/$C51-1</f>
        <v>0</v>
      </c>
      <c r="H51" s="35">
        <f>D51/$C51-1</f>
        <v>-8.3836096254498726E-2</v>
      </c>
      <c r="I51" s="35">
        <f>E51/$C51-1</f>
        <v>-0.31323605418913958</v>
      </c>
    </row>
    <row r="52" spans="2:9" x14ac:dyDescent="0.2">
      <c r="B52" s="31" t="s">
        <v>120</v>
      </c>
      <c r="C52" s="32">
        <f>C47-C49-C50</f>
        <v>21.0589384803157</v>
      </c>
      <c r="D52" s="32">
        <f>D47-D49-D50</f>
        <v>21.342165101242969</v>
      </c>
      <c r="E52" s="32">
        <f>E47-E49-E50</f>
        <v>21.977925065072842</v>
      </c>
      <c r="F52" s="33"/>
      <c r="G52" s="34">
        <f>C52/$C52-1</f>
        <v>0</v>
      </c>
      <c r="H52" s="35">
        <f>D52/$C52-1</f>
        <v>1.3449235401490345E-2</v>
      </c>
      <c r="I52" s="35">
        <f>E52/$C52-1</f>
        <v>4.3638789562737923E-2</v>
      </c>
    </row>
    <row r="53" spans="2:9" x14ac:dyDescent="0.2">
      <c r="B53" s="31"/>
      <c r="C53" s="32"/>
      <c r="D53" s="32"/>
      <c r="E53" s="32"/>
      <c r="F53" s="33"/>
      <c r="G53" s="34"/>
      <c r="H53" s="35"/>
      <c r="I53" s="35"/>
    </row>
    <row r="54" spans="2:9" x14ac:dyDescent="0.2">
      <c r="G54" s="182" t="s">
        <v>47</v>
      </c>
      <c r="H54" s="182"/>
      <c r="I54" s="182"/>
    </row>
    <row r="55" spans="2:9" x14ac:dyDescent="0.2">
      <c r="B55" s="2" t="s">
        <v>46</v>
      </c>
      <c r="C55" s="12">
        <f>C$35*(($B$8+$B$7)*C$35+2*$B$8*($B$7-1))/($B$7*($B$8+1))-2*C$35-C$46</f>
        <v>16.799607570809101</v>
      </c>
      <c r="D55" s="12">
        <f>D$35*(($B$8+$B$7)*D$35+2*$B$8*($B$7-1))/($B$7*($B$8+1))-2*D$35-D$46</f>
        <v>16.688458649073642</v>
      </c>
      <c r="E55" s="12">
        <f>E$35*(($B$8+$B$7)*E$35+2*$B$8*($B$7-1))/($B$7*($B$8+1))-2*E$35-E$46</f>
        <v>16.39055019477874</v>
      </c>
      <c r="G55" s="3">
        <f>(C55-$C55)/$C$51</f>
        <v>0</v>
      </c>
      <c r="H55" s="8">
        <f>(D55-$C55)/$C$51</f>
        <v>-4.0715189163445249E-2</v>
      </c>
      <c r="I55" s="8">
        <f>(E55-$C55)/$C$51</f>
        <v>-0.14984264519828772</v>
      </c>
    </row>
    <row r="56" spans="2:9" x14ac:dyDescent="0.2">
      <c r="B56" s="2" t="s">
        <v>49</v>
      </c>
      <c r="C56" s="12">
        <f>(C$38-1)*2*C$35</f>
        <v>4.4751849829454695</v>
      </c>
      <c r="D56" s="12">
        <f>(D$38-1)*2*D$35</f>
        <v>4.7444643062376226</v>
      </c>
      <c r="E56" s="12">
        <f>(E$38-1)*2*E$35</f>
        <v>5.4109063588983739</v>
      </c>
      <c r="G56" s="3">
        <f>(C56-$C56)/$C$51</f>
        <v>0</v>
      </c>
      <c r="H56" s="8">
        <f>(D56-$C56)/$C$51</f>
        <v>9.8640260422308737E-2</v>
      </c>
      <c r="I56" s="8">
        <f>(E56-$C56)/$C$51</f>
        <v>0.34276601366297776</v>
      </c>
    </row>
    <row r="57" spans="2:9" x14ac:dyDescent="0.2">
      <c r="B57" s="2" t="s">
        <v>50</v>
      </c>
      <c r="C57" s="12">
        <f>C55-C56</f>
        <v>12.324422587863632</v>
      </c>
      <c r="D57" s="12">
        <f>D55-D56</f>
        <v>11.943994342836019</v>
      </c>
      <c r="E57" s="12">
        <f>E55-E56</f>
        <v>10.979643835880367</v>
      </c>
      <c r="G57" s="3">
        <f>(C57-$C57)/$C$51</f>
        <v>0</v>
      </c>
      <c r="H57" s="8">
        <f>(D57-$C57)/$C$51</f>
        <v>-0.13935544958575399</v>
      </c>
      <c r="I57" s="8">
        <f>(E57-$C57)/$C$51</f>
        <v>-0.49260865886126515</v>
      </c>
    </row>
    <row r="58" spans="2:9" x14ac:dyDescent="0.2">
      <c r="B58" s="54" t="s">
        <v>113</v>
      </c>
      <c r="C58" s="48"/>
      <c r="D58" s="48"/>
      <c r="E58" s="48"/>
      <c r="F58" s="48"/>
      <c r="G58" s="50">
        <f>G42*BenefitParams!$B$21*$C$47/$C$51</f>
        <v>0</v>
      </c>
      <c r="H58" s="49">
        <f>H42*BenefitParams!$B$21/BackgroundInfo1!$B$8</f>
        <v>-5.0177068490590646E-3</v>
      </c>
      <c r="I58" s="49">
        <f>I42*BenefitParams!$B$21/BackgroundInfo1!$B$8</f>
        <v>-1.7165412452398495E-2</v>
      </c>
    </row>
    <row r="59" spans="2:9" x14ac:dyDescent="0.2">
      <c r="B59" s="47" t="s">
        <v>125</v>
      </c>
      <c r="C59" s="48"/>
      <c r="D59" s="48"/>
      <c r="E59" s="48"/>
      <c r="F59" s="48"/>
      <c r="G59" s="50">
        <f>G58*BenefitParams!$B$12</f>
        <v>0</v>
      </c>
      <c r="H59" s="49">
        <f>H58*BenefitParams!$B$12</f>
        <v>-2.070027160932152E-3</v>
      </c>
      <c r="I59" s="49">
        <f>I58*BenefitParams!$B$12</f>
        <v>-7.0814958055453346E-3</v>
      </c>
    </row>
    <row r="60" spans="2:9" x14ac:dyDescent="0.2">
      <c r="B60" s="31" t="s">
        <v>119</v>
      </c>
      <c r="C60" s="33"/>
      <c r="D60" s="33"/>
      <c r="E60" s="33"/>
      <c r="F60" s="33"/>
      <c r="G60" s="57">
        <f>G$52*$C$52/$C$51-G$58*(1-BackgroundInfo1!$D$42)</f>
        <v>0</v>
      </c>
      <c r="H60" s="55">
        <f>H$52*$C$52/$C$51-H$58*(1-BackgroundInfo1!$D$42)</f>
        <v>0.10825602855401421</v>
      </c>
      <c r="I60" s="55">
        <f>I$52*$C$52/$C$51-I$58*(1-BackgroundInfo1!$D$42)</f>
        <v>0.35205314961606798</v>
      </c>
    </row>
    <row r="61" spans="2:9" x14ac:dyDescent="0.2">
      <c r="B61" s="53" t="s">
        <v>30</v>
      </c>
      <c r="C61" s="33"/>
      <c r="D61" s="33"/>
      <c r="E61" s="33"/>
      <c r="F61" s="33"/>
      <c r="G61" s="34">
        <f>(C$38-$C$38)*2*$C$35/$C$51</f>
        <v>0</v>
      </c>
      <c r="H61" s="35">
        <f>(D$38-$C$38)*2*$C$35/$C$51</f>
        <v>0.14864147459238755</v>
      </c>
      <c r="I61" s="35">
        <f>(E$38-$C$38)*2*$C$35/$C$51</f>
        <v>0.55245070809423036</v>
      </c>
    </row>
    <row r="62" spans="2:9" x14ac:dyDescent="0.2">
      <c r="B62" s="53" t="s">
        <v>121</v>
      </c>
      <c r="C62" s="33"/>
      <c r="D62" s="33"/>
      <c r="E62" s="33"/>
      <c r="F62" s="33"/>
      <c r="G62" s="34">
        <f>2*(C$35-$C$35)*$C$38/$C$51</f>
        <v>0</v>
      </c>
      <c r="H62" s="35">
        <f>2*(D$35-$C$35)*$C$38/$C$51</f>
        <v>-6.5253016565649302E-2</v>
      </c>
      <c r="I62" s="35">
        <f>2*(E$35-$C$35)*$C$38/$C$51</f>
        <v>-0.22322845411398617</v>
      </c>
    </row>
    <row r="63" spans="2:9" x14ac:dyDescent="0.2">
      <c r="B63" s="53" t="s">
        <v>122</v>
      </c>
      <c r="C63" s="33"/>
      <c r="D63" s="33"/>
      <c r="E63" s="33"/>
      <c r="F63" s="33"/>
      <c r="G63" s="34">
        <f>(1-BackgroundInfo1!$C$41)*(C$40-$C$40)/$C$51</f>
        <v>0</v>
      </c>
      <c r="H63" s="35">
        <f>(1-BackgroundInfo1!$C$41)*(D$40-$C$40)/$C$51</f>
        <v>5.1163228481105683E-3</v>
      </c>
      <c r="I63" s="35">
        <f>(1-BackgroundInfo1!$C$41)*(E$40-$C$40)/$C$51</f>
        <v>1.750277458794227E-2</v>
      </c>
    </row>
    <row r="64" spans="2:9" x14ac:dyDescent="0.2">
      <c r="B64" s="53" t="s">
        <v>123</v>
      </c>
      <c r="G64" s="34">
        <f>(C$38-$C$38)*2*(C$35-$C$35)/$C$51</f>
        <v>0</v>
      </c>
      <c r="H64" s="35">
        <f>(D$38-$C$38)*2*(D$35-$C$35)/$C$51</f>
        <v>-4.1568448302512591E-3</v>
      </c>
      <c r="I64" s="35">
        <f>(E$38-$C$38)*2*(E$35-$C$35)/$C$51</f>
        <v>-5.2852593232308037E-2</v>
      </c>
    </row>
    <row r="65" spans="2:9" x14ac:dyDescent="0.2">
      <c r="B65" s="53" t="s">
        <v>124</v>
      </c>
      <c r="G65" s="34">
        <f>($C$49-C$49)/$C$51</f>
        <v>0</v>
      </c>
      <c r="H65" s="35">
        <f>($C$49-D$49)/$C$51</f>
        <v>4.4291735128424825E-4</v>
      </c>
      <c r="I65" s="35">
        <f>($C$49-E$49)/$C$51</f>
        <v>3.5462754729801561E-3</v>
      </c>
    </row>
    <row r="66" spans="2:9" x14ac:dyDescent="0.2">
      <c r="B66" s="53" t="s">
        <v>126</v>
      </c>
      <c r="G66" s="34">
        <f>(C$46-$C$46)/$C$51</f>
        <v>0</v>
      </c>
      <c r="H66" s="35">
        <f>(D$46-$C$46)/$C$51</f>
        <v>1.8958470188409144E-2</v>
      </c>
      <c r="I66" s="35">
        <f>(E$46-$C$46)/$C$51</f>
        <v>3.9217147216910719E-2</v>
      </c>
    </row>
    <row r="67" spans="2:9" x14ac:dyDescent="0.2">
      <c r="B67" s="53" t="s">
        <v>127</v>
      </c>
      <c r="G67" s="34">
        <f>-G58*(1-BackgroundInfo1!$D$42)</f>
        <v>0</v>
      </c>
      <c r="H67" s="35">
        <f>-H58*(1-BackgroundInfo1!$D$42)</f>
        <v>4.5067049697237746E-3</v>
      </c>
      <c r="I67" s="35">
        <f>-I58*(1-BackgroundInfo1!$D$42)</f>
        <v>1.5417291590298731E-2</v>
      </c>
    </row>
    <row r="68" spans="2:9" x14ac:dyDescent="0.2">
      <c r="B68" s="53" t="s">
        <v>131</v>
      </c>
      <c r="G68" s="34">
        <f>BenefitParams!$B$6*(Brands!C$52-Brands!$C$52)/Brands!$C$51+BenefitParams!$B$7*Brands!G$67</f>
        <v>0</v>
      </c>
      <c r="H68" s="35">
        <f>BenefitParams!$B$6*(Brands!D$52-Brands!$C$52)/Brands!$C$51+BenefitParams!$B$7*Brands!H$67</f>
        <v>8.0650741272740703E-2</v>
      </c>
      <c r="I68" s="35">
        <f>BenefitParams!$B$6*(Brands!E$52-Brands!$C$52)/Brands!$C$51+BenefitParams!$B$7*Brands!I$67</f>
        <v>0.26227959646397109</v>
      </c>
    </row>
    <row r="69" spans="2:9" x14ac:dyDescent="0.2">
      <c r="B69" s="53" t="s">
        <v>132</v>
      </c>
      <c r="G69" s="34">
        <f>G68*BackgroundInfo2!$B$15</f>
        <v>0</v>
      </c>
      <c r="H69" s="35">
        <f>H68*BackgroundInfo2!$B$15</f>
        <v>4.0325370636370352E-2</v>
      </c>
      <c r="I69" s="35">
        <f>I68*BackgroundInfo2!$B$15</f>
        <v>0.13113979823198554</v>
      </c>
    </row>
    <row r="70" spans="2:9" x14ac:dyDescent="0.2">
      <c r="B70" s="71" t="s">
        <v>152</v>
      </c>
      <c r="G70" s="73">
        <f>(C$78-$C$78)*BackgroundInfo2!$B$26/Brands!$C$51</f>
        <v>0</v>
      </c>
      <c r="H70" s="74">
        <f>(D$78-$C$78)*BackgroundInfo2!$B$26/Brands!$C$51</f>
        <v>-1.5805681144645197E-2</v>
      </c>
      <c r="I70" s="74">
        <f>(E$78-$C$78)*BackgroundInfo2!$B$26/Brands!$C$51</f>
        <v>-5.5218369886334946E-2</v>
      </c>
    </row>
    <row r="71" spans="2:9" x14ac:dyDescent="0.2">
      <c r="B71" s="53"/>
      <c r="G71" s="34"/>
      <c r="H71" s="35"/>
      <c r="I71" s="35"/>
    </row>
    <row r="72" spans="2:9" x14ac:dyDescent="0.2">
      <c r="B72" s="54" t="s">
        <v>146</v>
      </c>
      <c r="G72" s="34"/>
      <c r="H72" s="35"/>
      <c r="I72" s="35"/>
    </row>
    <row r="73" spans="2:9" x14ac:dyDescent="0.2">
      <c r="B73" s="71" t="s">
        <v>24</v>
      </c>
      <c r="C73" s="72">
        <f>(1-0.5*$B$7/$B$8)*(C$33-4*($B$8+1)*(2*$B$8-$B$7)*$B$7/(($B$8+$B$7)*$B$8))/(C$33-2*($B$8+1)*(2*$B$8-$B$7)*$B$7/(($B$8+$B$7)*$B$8))</f>
        <v>1.513130223459566</v>
      </c>
      <c r="D73" s="72">
        <f>(1-0.5*$B$7/$B$8)*(D$33-4*($B$8+1)*(2*$B$8-$B$7)*$B$7/(($B$8+$B$7)*$B$8))/(D$33-2*($B$8+1)*(2*$B$8-$B$7)*$B$7/(($B$8+$B$7)*$B$8))</f>
        <v>1.471646010087541</v>
      </c>
      <c r="E73" s="72">
        <f>(1-0.5*$B$7/$B$8)*(E$33-4*($B$8+1)*(2*$B$8-$B$7)*$B$7/(($B$8+$B$7)*$B$8))/(E$33-2*($B$8+1)*(2*$B$8-$B$7)*$B$7/(($B$8+$B$7)*$B$8))</f>
        <v>1.3477193320963647</v>
      </c>
      <c r="F73" s="60"/>
      <c r="G73" s="73">
        <f>C73/$C73-1</f>
        <v>0</v>
      </c>
      <c r="H73" s="74">
        <f>D73/$C73-1</f>
        <v>-2.7416155416667976E-2</v>
      </c>
      <c r="I73" s="74">
        <f>E73/$C73-1</f>
        <v>-0.10931702294929502</v>
      </c>
    </row>
    <row r="74" spans="2:9" x14ac:dyDescent="0.2">
      <c r="B74" s="71" t="s">
        <v>26</v>
      </c>
      <c r="C74" s="72">
        <f>(C$33*($B$7-$B$8+2*$B$7*$B$8)-4*($B$8+1)*($B$8+1)*(2*$B$8-$B$7)*$B$7*$B$7/(($B$8+$B$7)*$B$8))/(C$33-2*($B$8+1)*(2*$B$8-$B$7)*$B$7/(($B$8+$B$7)*$B$8))/(2*$B$7*($B$8+1))</f>
        <v>1.7537597060130792</v>
      </c>
      <c r="D74" s="72">
        <f>(D$33*($B$7-$B$8+2*$B$7*$B$8)-4*($B$8+1)*($B$8+1)*(2*$B$8-$B$7)*$B$7*$B$7/(($B$8+$B$7)*$B$8))/(D$33-2*($B$8+1)*(2*$B$8-$B$7)*$B$7/(($B$8+$B$7)*$B$8))/(2*$B$7*($B$8+1))</f>
        <v>2.1991691548495624</v>
      </c>
      <c r="E74" s="72">
        <f>(E$33*($B$7-$B$8+2*$B$7*$B$8)-4*($B$8+1)*($B$8+1)*(2*$B$8-$B$7)*$B$7*$B$7/(($B$8+$B$7)*$B$8))/(E$33-2*($B$8+1)*(2*$B$8-$B$7)*$B$7/(($B$8+$B$7)*$B$8))/(2*$B$7*($B$8+1))</f>
        <v>3.5297503290706085</v>
      </c>
      <c r="F74" s="60"/>
      <c r="G74" s="73">
        <f>C74/$C74-1</f>
        <v>0</v>
      </c>
      <c r="H74" s="74">
        <f>D74/$C74-1</f>
        <v>0.25397404633560527</v>
      </c>
      <c r="I74" s="74">
        <f>E74/$C74-1</f>
        <v>1.0126761476890063</v>
      </c>
    </row>
    <row r="75" spans="2:9" x14ac:dyDescent="0.2">
      <c r="B75" s="71" t="s">
        <v>27</v>
      </c>
      <c r="C75" s="60">
        <f>($B$7-$B$8+2*$B$7*$B$8)/(2*$B$7*($B$8+1))</f>
        <v>9.5000000000000018</v>
      </c>
      <c r="D75" s="60">
        <f>($B$7-$B$8+2*$B$7*$B$8)/(2*$B$7*($B$8+1))</f>
        <v>9.5000000000000018</v>
      </c>
      <c r="E75" s="60">
        <f>($B$7-$B$8+2*$B$7*$B$8)/(2*$B$7*($B$8+1))</f>
        <v>9.5000000000000018</v>
      </c>
      <c r="F75" s="60"/>
      <c r="G75" s="73"/>
      <c r="H75" s="74"/>
      <c r="I75" s="74"/>
    </row>
    <row r="76" spans="2:9" x14ac:dyDescent="0.2">
      <c r="B76" s="71" t="s">
        <v>144</v>
      </c>
      <c r="C76" s="72">
        <f>(2*$B$8-$B$7)*(C$33*C$33*($B$7-$B$8+2*$B$7*$B$8)-2*C$33*($B$8+1)*(2*$B$8-$B$7)*$B$7*(7*$B$7-$B$8+8*$B$7*$B$8)/(($B$8+$B$7)*$B$8)+6*($B$8+1)*($B$8+1)*(2*$B$8-$B$7)*(2*$B$8-$B$7)*$B$7*$B$7*(3*$B$7-$B$8+4*$B$7*$B$8)/(($B$8+$B$7)*$B$8*($B$8+$B$7)*$B$8))/(4*$B$8*($B$8+1)*$B$7*(C$33-2*($B$8+1)*(2*$B$8-$B$7)*$B$7/(($B$8+$B$7)*$B$8))^2)</f>
        <v>11.214265325587904</v>
      </c>
      <c r="D76" s="72">
        <f>(2*$B$8-$B$7)*(D$33*D$33*($B$7-$B$8+2*$B$7*$B$8)-2*D$33*($B$8+1)*(2*$B$8-$B$7)*$B$7*(7*$B$7-$B$8+8*$B$7*$B$8)/(($B$8+$B$7)*$B$8)+6*($B$8+1)*($B$8+1)*(2*$B$8-$B$7)*(2*$B$8-$B$7)*$B$7*$B$7*(3*$B$7-$B$8+4*$B$7*$B$8)/(($B$8+$B$7)*$B$8*($B$8+$B$7)*$B$8))/(4*$B$8*($B$8+1)*$B$7*(D$33-2*($B$8+1)*(2*$B$8-$B$7)*$B$7/(($B$8+$B$7)*$B$8))^2)</f>
        <v>10.547588847866043</v>
      </c>
      <c r="E76" s="72">
        <f>(2*$B$8-$B$7)*(E$33*E$33*($B$7-$B$8+2*$B$7*$B$8)-2*E$33*($B$8+1)*(2*$B$8-$B$7)*$B$7*(7*$B$7-$B$8+8*$B$7*$B$8)/(($B$8+$B$7)*$B$8)+6*($B$8+1)*($B$8+1)*(2*$B$8-$B$7)*(2*$B$8-$B$7)*$B$7*$B$7*(3*$B$7-$B$8+4*$B$7*$B$8)/(($B$8+$B$7)*$B$8*($B$8+$B$7)*$B$8))/(4*$B$8*($B$8+1)*$B$7*(E$33-2*($B$8+1)*(2*$B$8-$B$7)*$B$7/(($B$8+$B$7)*$B$8))^2)</f>
        <v>8.8861508722418954</v>
      </c>
      <c r="G76" s="73">
        <f>C76/$C76-1</f>
        <v>0</v>
      </c>
      <c r="H76" s="74">
        <f>D76/$C76-1</f>
        <v>-5.9448965970217094E-2</v>
      </c>
      <c r="I76" s="74">
        <f>E76/$C76-1</f>
        <v>-0.20760294016174963</v>
      </c>
    </row>
    <row r="77" spans="2:9" x14ac:dyDescent="0.2">
      <c r="B77" s="71" t="s">
        <v>145</v>
      </c>
      <c r="C77" s="72">
        <f>1-0.5*$B$7/$B$8</f>
        <v>0.79166666666666663</v>
      </c>
      <c r="D77" s="72">
        <f>1-0.5*$B$7/$B$8</f>
        <v>0.79166666666666663</v>
      </c>
      <c r="E77" s="72">
        <f>1-0.5*$B$7/$B$8</f>
        <v>0.79166666666666663</v>
      </c>
    </row>
    <row r="78" spans="2:9" x14ac:dyDescent="0.2">
      <c r="B78" s="71" t="s">
        <v>147</v>
      </c>
      <c r="C78" s="72">
        <f>C$76*BackgroundInfo2!$B$22+(BackgroundInfo2!$B$23+BackgroundInfo2!$B$24*BackgroundInfo2!$B$25)*C$38*C$35</f>
        <v>3.5120386776853687</v>
      </c>
      <c r="D78" s="72">
        <f>D$76*BackgroundInfo2!$B$22+(BackgroundInfo2!$B$23+BackgroundInfo2!$B$24*BackgroundInfo2!$B$25)*D$38*D$35</f>
        <v>3.4077934142467168</v>
      </c>
      <c r="E78" s="72">
        <f>E$76*BackgroundInfo2!$B$22+(BackgroundInfo2!$B$23+BackgroundInfo2!$B$24*BackgroundInfo2!$B$25)*E$38*E$35</f>
        <v>3.1478497849210685</v>
      </c>
      <c r="G78" s="73">
        <f>C78/$C78-1</f>
        <v>0</v>
      </c>
      <c r="H78" s="74">
        <f>D78/$C78-1</f>
        <v>-2.9682265204253211E-2</v>
      </c>
      <c r="I78" s="74">
        <f>E78/$C78-1</f>
        <v>-0.10369728986137505</v>
      </c>
    </row>
    <row r="81" spans="3:5" x14ac:dyDescent="0.2">
      <c r="C81" s="3"/>
      <c r="D81" s="3"/>
      <c r="E81" s="3"/>
    </row>
  </sheetData>
  <mergeCells count="8">
    <mergeCell ref="C6:F6"/>
    <mergeCell ref="C19:J20"/>
    <mergeCell ref="G54:I54"/>
    <mergeCell ref="C21:E21"/>
    <mergeCell ref="C9:G9"/>
    <mergeCell ref="C8:G8"/>
    <mergeCell ref="C7:G7"/>
    <mergeCell ref="G21:I21"/>
  </mergeCells>
  <conditionalFormatting sqref="B7:B8">
    <cfRule type="cellIs" dxfId="8" priority="4" operator="lessThan">
      <formula>$K$26</formula>
    </cfRule>
  </conditionalFormatting>
  <conditionalFormatting sqref="B9">
    <cfRule type="cellIs" dxfId="7" priority="2" operator="greaterThan">
      <formula>$B$13</formula>
    </cfRule>
  </conditionalFormatting>
  <conditionalFormatting sqref="C25:E25">
    <cfRule type="cellIs" dxfId="6" priority="1" operator="equal">
      <formula>C$24</formula>
    </cfRule>
  </conditionalFormatting>
  <conditionalFormatting sqref="D24:E24">
    <cfRule type="cellIs" dxfId="5" priority="3" operator="greaterThan">
      <formula>$B$13</formula>
    </cfRule>
  </conditionalFormatting>
  <dataValidations count="6">
    <dataValidation type="custom" operator="lessThan" allowBlank="1" showInputMessage="1" showErrorMessage="1" errorTitle="eta out of range" error="Must be in the interval (own elas,0)." promptTitle="eta" prompt="Industry elasticity of demand" sqref="B7" xr:uid="{2712B127-3F39-FE4A-8C24-12C49CE6AEA9}">
      <formula1>AND(B7&lt;0,B7&gt;B8)</formula1>
    </dataValidation>
    <dataValidation type="custom" operator="lessThan" allowBlank="1" showInputMessage="1" showErrorMessage="1" errorTitle="epsilon out of range" error="Must be less than BOTH -1 and industry elasticity." promptTitle="epsilon" prompt="Own-price elasticity of demand" sqref="B8" xr:uid="{6D2AFB26-A7CC-9E47-AE11-80CB7B4E7909}">
      <formula1>AND(B8&lt;-1,B8&lt;B7)</formula1>
    </dataValidation>
    <dataValidation type="custom" operator="lessThan" allowBlank="1" showInputMessage="1" showErrorMessage="1" errorTitle="Rebate rate out of range" error="Must be positive but below Maximum." promptTitle="Baselinerr" prompt="Baseline rebate rate" sqref="B9" xr:uid="{E9ED1D80-493D-C840-81F3-5543F3049D14}">
      <formula1>AND(B9&gt;0,B9&lt;=$B$13)</formula1>
    </dataValidation>
    <dataValidation type="custom" allowBlank="1" showInputMessage="1" showErrorMessage="1" promptTitle="beta" prompt="Share of management surplus going to plans and patients" sqref="C26" xr:uid="{2D1AB4DB-BCFB-6749-95F3-77E55EA9A70E}">
      <formula1>AND(C26&gt;=$B$15,C26&lt;=$B$16)</formula1>
    </dataValidation>
    <dataValidation type="custom" operator="lessThan" allowBlank="1" showInputMessage="1" showErrorMessage="1" errorTitle="Rebate rate out of range" error="Must be positive but below Maximum." promptTitle="Scenario1rr" prompt="Rebate rate scenario" sqref="D24" xr:uid="{A1236B73-E7DF-A448-AA2E-C256CAFC2481}">
      <formula1>AND(D24&gt;0,D24&lt;=$B$13)</formula1>
    </dataValidation>
    <dataValidation type="custom" operator="lessThan" allowBlank="1" showInputMessage="1" showErrorMessage="1" errorTitle="Rebate rate out of range" error="Must be positive but below Maximum." promptTitle="Scenario2rr" prompt="Rebate rate scenario" sqref="E24" xr:uid="{0EA6B8FF-B563-5849-AC14-4AC379C98A9E}">
      <formula1>AND(E24&gt;0,E24&lt;=$B$13)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8B63D-416F-114B-AC85-601AECB05FAD}">
  <dimension ref="A1:L72"/>
  <sheetViews>
    <sheetView showGridLines="0" zoomScaleNormal="100" workbookViewId="0">
      <pane xSplit="2" ySplit="22" topLeftCell="C23" activePane="bottomRight" state="frozen"/>
      <selection pane="topRight" activeCell="C1" sqref="C1"/>
      <selection pane="bottomLeft" activeCell="A21" sqref="A21"/>
      <selection pane="bottomRight" activeCell="A23" sqref="A23"/>
    </sheetView>
  </sheetViews>
  <sheetFormatPr baseColWidth="10" defaultRowHeight="16" x14ac:dyDescent="0.2"/>
  <cols>
    <col min="1" max="1" width="43.33203125" bestFit="1" customWidth="1"/>
    <col min="2" max="2" width="18.83203125" customWidth="1"/>
    <col min="3" max="3" width="10.5" bestFit="1" customWidth="1"/>
    <col min="11" max="12" width="0" hidden="1" customWidth="1"/>
  </cols>
  <sheetData>
    <row r="1" spans="1:9" x14ac:dyDescent="0.2">
      <c r="A1" s="117" t="s">
        <v>371</v>
      </c>
      <c r="B1" s="118"/>
      <c r="C1" s="118"/>
      <c r="D1" s="118"/>
      <c r="E1" s="118"/>
      <c r="F1" s="118"/>
      <c r="G1" s="118"/>
      <c r="H1" s="118"/>
      <c r="I1" s="118"/>
    </row>
    <row r="2" spans="1:9" x14ac:dyDescent="0.2">
      <c r="A2" s="119" t="s">
        <v>37</v>
      </c>
      <c r="B2" s="118"/>
      <c r="C2" s="118"/>
      <c r="D2" s="118"/>
      <c r="E2" s="118"/>
      <c r="F2" s="118"/>
      <c r="G2" s="118"/>
      <c r="H2" s="118"/>
      <c r="I2" s="118"/>
    </row>
    <row r="3" spans="1:9" x14ac:dyDescent="0.2">
      <c r="A3" s="122" t="s">
        <v>129</v>
      </c>
      <c r="B3" s="118"/>
      <c r="C3" s="118"/>
      <c r="D3" s="118"/>
      <c r="E3" s="118"/>
      <c r="F3" s="118"/>
      <c r="G3" s="118"/>
      <c r="H3" s="118"/>
      <c r="I3" s="118"/>
    </row>
    <row r="4" spans="1:9" x14ac:dyDescent="0.2">
      <c r="A4" s="122" t="s">
        <v>130</v>
      </c>
      <c r="B4" s="118"/>
      <c r="C4" s="118"/>
      <c r="D4" s="118"/>
      <c r="E4" s="118"/>
      <c r="F4" s="118"/>
      <c r="G4" s="118"/>
      <c r="H4" s="118"/>
      <c r="I4" s="118"/>
    </row>
    <row r="5" spans="1:9" x14ac:dyDescent="0.2">
      <c r="A5" s="118"/>
      <c r="B5" s="118"/>
      <c r="C5" s="118"/>
      <c r="D5" s="118"/>
      <c r="E5" s="118"/>
      <c r="F5" s="118"/>
      <c r="G5" s="118"/>
      <c r="H5" s="118"/>
      <c r="I5" s="118"/>
    </row>
    <row r="6" spans="1:9" x14ac:dyDescent="0.2">
      <c r="A6" s="120" t="s">
        <v>1</v>
      </c>
      <c r="B6" s="123" t="s">
        <v>2</v>
      </c>
      <c r="C6" s="180" t="s">
        <v>3</v>
      </c>
      <c r="D6" s="180"/>
      <c r="E6" s="180"/>
      <c r="F6" s="180"/>
      <c r="G6" s="120"/>
      <c r="H6" s="120"/>
      <c r="I6" s="120"/>
    </row>
    <row r="7" spans="1:9" x14ac:dyDescent="0.2">
      <c r="A7" s="118" t="s">
        <v>0</v>
      </c>
      <c r="B7" s="4">
        <f>-9/8</f>
        <v>-1.125</v>
      </c>
      <c r="C7" s="183" t="s">
        <v>6</v>
      </c>
      <c r="D7" s="184"/>
      <c r="E7" s="184"/>
      <c r="F7" s="184"/>
      <c r="G7" s="184"/>
      <c r="H7" s="118"/>
      <c r="I7" s="118"/>
    </row>
    <row r="8" spans="1:9" x14ac:dyDescent="0.2">
      <c r="A8" s="118" t="s">
        <v>5</v>
      </c>
      <c r="B8" s="4">
        <v>-1.5</v>
      </c>
      <c r="C8" s="183" t="s">
        <v>4</v>
      </c>
      <c r="D8" s="184"/>
      <c r="E8" s="184"/>
      <c r="F8" s="184"/>
      <c r="G8" s="184"/>
      <c r="H8" s="118"/>
      <c r="I8" s="118"/>
    </row>
    <row r="9" spans="1:9" x14ac:dyDescent="0.2">
      <c r="A9" s="118" t="s">
        <v>155</v>
      </c>
      <c r="B9" s="9">
        <f>BackgroundInfo1!$B$13</f>
        <v>0.29787253798337188</v>
      </c>
      <c r="C9" s="183" t="s">
        <v>16</v>
      </c>
      <c r="D9" s="184"/>
      <c r="E9" s="184"/>
      <c r="F9" s="184"/>
      <c r="G9" s="184"/>
      <c r="H9" s="118"/>
      <c r="I9" s="118"/>
    </row>
    <row r="10" spans="1:9" x14ac:dyDescent="0.2">
      <c r="A10" s="118"/>
      <c r="B10" s="118"/>
      <c r="C10" s="124"/>
      <c r="D10" s="124"/>
      <c r="E10" s="124"/>
      <c r="F10" s="118"/>
      <c r="G10" s="118"/>
      <c r="H10" s="118"/>
      <c r="I10" s="118"/>
    </row>
    <row r="11" spans="1:9" x14ac:dyDescent="0.2">
      <c r="A11" s="118"/>
      <c r="B11" s="118"/>
      <c r="C11" s="118"/>
      <c r="D11" s="118"/>
      <c r="E11" s="118"/>
      <c r="F11" s="118"/>
      <c r="G11" s="118"/>
      <c r="H11" s="118"/>
      <c r="I11" s="118"/>
    </row>
    <row r="12" spans="1:9" x14ac:dyDescent="0.2">
      <c r="A12" s="118" t="s">
        <v>159</v>
      </c>
      <c r="B12" s="118">
        <f>B7-B8</f>
        <v>0.375</v>
      </c>
      <c r="C12" s="118"/>
      <c r="D12" s="118"/>
      <c r="E12" s="118"/>
      <c r="F12" s="118"/>
      <c r="G12" s="118"/>
      <c r="H12" s="118"/>
      <c r="I12" s="118"/>
    </row>
    <row r="13" spans="1:9" x14ac:dyDescent="0.2">
      <c r="A13" s="118" t="s">
        <v>156</v>
      </c>
      <c r="B13" s="125">
        <f>-0.5*(B7+B8)/(2*B8*B8+B8-B7)</f>
        <v>0.31818181818181818</v>
      </c>
      <c r="C13" s="118"/>
      <c r="D13" s="118"/>
      <c r="E13" s="118"/>
      <c r="F13" s="118"/>
      <c r="G13" s="118"/>
      <c r="H13" s="118"/>
      <c r="I13" s="118"/>
    </row>
    <row r="14" spans="1:9" x14ac:dyDescent="0.2">
      <c r="A14" s="118" t="s">
        <v>157</v>
      </c>
      <c r="B14" s="125"/>
      <c r="C14" s="118"/>
      <c r="D14" s="118"/>
      <c r="E14" s="118"/>
      <c r="F14" s="118"/>
      <c r="G14" s="118"/>
      <c r="H14" s="118"/>
      <c r="I14" s="118"/>
    </row>
    <row r="15" spans="1:9" x14ac:dyDescent="0.2">
      <c r="A15" s="126" t="s">
        <v>11</v>
      </c>
      <c r="B15" s="125">
        <f>MAX(0,-1-4*MIN(B$9,B$13)*(2*B$8*B$8+B$8-B$7)/(B$7+B$8))</f>
        <v>0.87234166732405183</v>
      </c>
      <c r="C15" s="118"/>
      <c r="D15" s="118"/>
      <c r="E15" s="118"/>
      <c r="F15" s="118"/>
      <c r="G15" s="118"/>
      <c r="H15" s="118"/>
      <c r="I15" s="118"/>
    </row>
    <row r="16" spans="1:9" x14ac:dyDescent="0.2">
      <c r="A16" s="126" t="s">
        <v>12</v>
      </c>
      <c r="B16" s="125">
        <v>1</v>
      </c>
      <c r="C16" s="118"/>
      <c r="D16" s="118"/>
      <c r="E16" s="118"/>
      <c r="F16" s="118"/>
      <c r="G16" s="118"/>
      <c r="H16" s="118"/>
      <c r="I16" s="118"/>
    </row>
    <row r="17" spans="1:12" x14ac:dyDescent="0.2">
      <c r="A17" s="126" t="s">
        <v>13</v>
      </c>
      <c r="B17" s="125">
        <f>AVERAGE(B15:B16)</f>
        <v>0.93617083366202591</v>
      </c>
      <c r="C17" s="118"/>
      <c r="D17" s="118"/>
      <c r="E17" s="118"/>
      <c r="F17" s="118"/>
      <c r="G17" s="118"/>
      <c r="H17" s="118"/>
      <c r="I17" s="118"/>
    </row>
    <row r="18" spans="1:12" x14ac:dyDescent="0.2">
      <c r="A18" s="126"/>
      <c r="B18" s="125"/>
      <c r="C18" s="118"/>
      <c r="D18" s="118"/>
      <c r="E18" s="118"/>
      <c r="F18" s="118"/>
      <c r="G18" s="118"/>
      <c r="H18" s="118"/>
      <c r="I18" s="118"/>
    </row>
    <row r="19" spans="1:12" x14ac:dyDescent="0.2">
      <c r="C19" s="181" t="str">
        <f>IF($K$25&gt;0,"Warning: "&amp;TEXT($K$25,"0")&amp;" scenario"&amp;IF($K$25=1," ("&amp;LEFT($K$24,LEN($K$24)-2)&amp;")"&amp;" has a target rebate rate that is","s ("&amp;LEFT($K$24,LEN($K$24)-2)&amp;")"&amp;" have target rebate rates that are")&amp;" not supported unless brands are less substitutable.  To achieve target rates, edit the red-highlighted demand parameters or the red-highlighted target rebate rates.","")</f>
        <v/>
      </c>
      <c r="D19" s="181"/>
      <c r="E19" s="181"/>
      <c r="F19" s="181"/>
      <c r="G19" s="181"/>
      <c r="H19" s="181"/>
      <c r="I19" s="181"/>
      <c r="J19" s="181"/>
    </row>
    <row r="20" spans="1:12" x14ac:dyDescent="0.2">
      <c r="C20" s="181"/>
      <c r="D20" s="181"/>
      <c r="E20" s="181"/>
      <c r="F20" s="181"/>
      <c r="G20" s="181"/>
      <c r="H20" s="181"/>
      <c r="I20" s="181"/>
      <c r="J20" s="181"/>
    </row>
    <row r="21" spans="1:12" x14ac:dyDescent="0.2">
      <c r="C21" s="177" t="s">
        <v>8</v>
      </c>
      <c r="D21" s="177"/>
      <c r="E21" s="177"/>
      <c r="G21" s="177" t="s">
        <v>29</v>
      </c>
      <c r="H21" s="177"/>
      <c r="I21" s="177"/>
    </row>
    <row r="22" spans="1:12" x14ac:dyDescent="0.2">
      <c r="B22" s="129" t="s">
        <v>10</v>
      </c>
      <c r="C22" s="6" t="s">
        <v>9</v>
      </c>
      <c r="D22" s="16" t="s">
        <v>349</v>
      </c>
      <c r="E22" s="16" t="s">
        <v>350</v>
      </c>
      <c r="G22" s="6" t="str">
        <f>C22</f>
        <v>Baseline</v>
      </c>
      <c r="H22" s="6" t="str">
        <f>D22</f>
        <v>Pgast low</v>
      </c>
      <c r="I22" s="6" t="str">
        <f>E22</f>
        <v>Lazear</v>
      </c>
    </row>
    <row r="23" spans="1:12" x14ac:dyDescent="0.2">
      <c r="B23" s="18" t="str">
        <f>IF($K$25=0,"","Rebate rate (brands)")</f>
        <v/>
      </c>
      <c r="C23" s="2"/>
      <c r="D23" s="185" t="s">
        <v>163</v>
      </c>
      <c r="E23" s="185"/>
      <c r="G23" s="2"/>
      <c r="H23" s="186" t="s">
        <v>163</v>
      </c>
      <c r="I23" s="186"/>
      <c r="K23" t="s">
        <v>33</v>
      </c>
    </row>
    <row r="24" spans="1:12" x14ac:dyDescent="0.2">
      <c r="B24" s="2" t="s">
        <v>173</v>
      </c>
      <c r="C24" s="7">
        <f>$B$9</f>
        <v>0.29787253798337188</v>
      </c>
      <c r="D24" s="13">
        <f>C24/1.09</f>
        <v>0.27327755778290996</v>
      </c>
      <c r="E24" s="13">
        <f>C24/1.44</f>
        <v>0.20685592915511936</v>
      </c>
      <c r="G24" s="2"/>
      <c r="H24" s="108"/>
      <c r="I24" s="108"/>
      <c r="K24" t="str" cm="1">
        <f t="array" ref="K24">IF(K25=0,"",_xlfn.CONCAT(TRANSPOSE(_xlfn._xlws.FILTER(C22:E22,C24:E24&gt;$B$13)&amp;", ")))</f>
        <v/>
      </c>
      <c r="L24" t="s">
        <v>34</v>
      </c>
    </row>
    <row r="25" spans="1:12" x14ac:dyDescent="0.2">
      <c r="B25" s="14" t="str">
        <f>IF($K$25=0,"","Actual")</f>
        <v/>
      </c>
      <c r="C25" s="7">
        <f>MIN(C24,$B$13)</f>
        <v>0.29787253798337188</v>
      </c>
      <c r="D25" s="107">
        <f>MIN(D24,$B$13)</f>
        <v>0.27327755778290996</v>
      </c>
      <c r="E25" s="107">
        <f>MIN(E24,$B$13)</f>
        <v>0.20685592915511936</v>
      </c>
      <c r="H25" s="95"/>
      <c r="I25" s="95"/>
      <c r="K25">
        <f>COUNTIF(C24:E24,"&gt;"&amp;$B$13)</f>
        <v>0</v>
      </c>
      <c r="L25" t="s">
        <v>35</v>
      </c>
    </row>
    <row r="26" spans="1:12" x14ac:dyDescent="0.2">
      <c r="B26" s="2" t="s">
        <v>17</v>
      </c>
      <c r="C26" s="9">
        <f>B17</f>
        <v>0.93617083366202591</v>
      </c>
      <c r="D26" s="93">
        <f>C26</f>
        <v>0.93617083366202591</v>
      </c>
      <c r="E26" s="93">
        <f>D26</f>
        <v>0.93617083366202591</v>
      </c>
      <c r="H26" s="95"/>
      <c r="I26" s="95"/>
      <c r="K26">
        <f>IF(K25&gt;0,0,-9999999999)</f>
        <v>-9999999999</v>
      </c>
      <c r="L26" t="s">
        <v>36</v>
      </c>
    </row>
    <row r="27" spans="1:12" hidden="1" x14ac:dyDescent="0.2">
      <c r="B27" s="10" t="s">
        <v>28</v>
      </c>
      <c r="C27" s="11"/>
      <c r="D27" s="94"/>
      <c r="E27" s="94"/>
      <c r="H27" s="95"/>
      <c r="I27" s="95"/>
    </row>
    <row r="28" spans="1:12" hidden="1" x14ac:dyDescent="0.2">
      <c r="B28" s="10" t="s">
        <v>20</v>
      </c>
      <c r="C28" s="11">
        <f>($B$7+$B$8)*(4*C$26*$B$8+3*$B$7-3*C$26*$B$7)</f>
        <v>15.310177150702398</v>
      </c>
      <c r="D28" s="94">
        <f t="shared" ref="D28:E32" si="0">C28</f>
        <v>15.310177150702398</v>
      </c>
      <c r="E28" s="94">
        <f t="shared" si="0"/>
        <v>15.310177150702398</v>
      </c>
      <c r="H28" s="95"/>
      <c r="I28" s="95"/>
    </row>
    <row r="29" spans="1:12" hidden="1" x14ac:dyDescent="0.2">
      <c r="B29" s="10" t="s">
        <v>19</v>
      </c>
      <c r="C29" s="11">
        <f>8*$B$8*($B$7+$B$8)*(4*$B$8*$B$8*(2*$B$7-$B$8+(1+3*$B$8-2*$B$7)*C$26)+3*$B$7*($B$8-$B$7+C$26*$B$7+2*$B$7*$B$8)-C$26*$B$7*$B$8*(7+6*$B$7))</f>
        <v>-763.79137742528621</v>
      </c>
      <c r="D29" s="94">
        <f t="shared" si="0"/>
        <v>-763.79137742528621</v>
      </c>
      <c r="E29" s="94">
        <f t="shared" si="0"/>
        <v>-763.79137742528621</v>
      </c>
      <c r="H29" s="95"/>
      <c r="I29" s="95"/>
    </row>
    <row r="30" spans="1:12" hidden="1" x14ac:dyDescent="0.2">
      <c r="B30" s="10" t="s">
        <v>21</v>
      </c>
      <c r="C30" s="11">
        <f>(4*$B$8*($B$7+(2*$B$7-1)*$B$8))^2</f>
        <v>506.25</v>
      </c>
      <c r="D30" s="94">
        <f t="shared" si="0"/>
        <v>506.25</v>
      </c>
      <c r="E30" s="94">
        <f t="shared" si="0"/>
        <v>506.25</v>
      </c>
      <c r="H30" s="95"/>
      <c r="I30" s="95"/>
    </row>
    <row r="31" spans="1:12" hidden="1" x14ac:dyDescent="0.2">
      <c r="B31" s="10" t="s">
        <v>22</v>
      </c>
      <c r="C31" s="11">
        <f>4*$B$8*((4*$B$8+1)*$B$8+(2*$B$8-1)*$B$7)</f>
        <v>-72</v>
      </c>
      <c r="D31" s="94">
        <f t="shared" si="0"/>
        <v>-72</v>
      </c>
      <c r="E31" s="94">
        <f t="shared" si="0"/>
        <v>-72</v>
      </c>
      <c r="H31" s="95"/>
      <c r="I31" s="95"/>
    </row>
    <row r="32" spans="1:12" hidden="1" x14ac:dyDescent="0.2">
      <c r="B32" s="10" t="s">
        <v>25</v>
      </c>
      <c r="C32" s="11">
        <f>2*($B$8+1)*$B$7*$B$8/(($B$7+$B$8)*($B$7+$B$8))</f>
        <v>-0.24489795918367346</v>
      </c>
      <c r="D32" s="94">
        <f t="shared" si="0"/>
        <v>-0.24489795918367346</v>
      </c>
      <c r="E32" s="94">
        <f t="shared" si="0"/>
        <v>-0.24489795918367346</v>
      </c>
      <c r="H32" s="95"/>
      <c r="I32" s="95"/>
    </row>
    <row r="33" spans="2:9" x14ac:dyDescent="0.2">
      <c r="B33" s="2" t="s">
        <v>23</v>
      </c>
      <c r="C33">
        <f>(C$28+C$25*C$31+SQRT(C$28*C$28+C$29*C$25+C$30*C$25*C$25))*$B$7*($B$8+1)/(8*C$25*$B$8*$B$8*($B$7+$B$8)*($B$7+$B$8))</f>
        <v>1.6155469128320811E-2</v>
      </c>
      <c r="D33" s="95">
        <f>(D$28+D$25*D$31+SQRT(D$28*D$28+D$29*D$25+D$30*D$25*D$25))*$B$7*($B$8+1)/(8*D$25*$B$8*$B$8*($B$7+$B$8)*($B$7+$B$8))</f>
        <v>5.9772008361761796E-2</v>
      </c>
      <c r="E33" s="95">
        <f>(E$28+E$25*E$31+SQRT(E$28*E$28+E$29*E$25+E$30*E$25*E$25))*$B$7*($B$8+1)/(8*E$25*$B$8*$B$8*($B$7+$B$8)*($B$7+$B$8))</f>
        <v>0.22624711957955859</v>
      </c>
      <c r="H33" s="95"/>
      <c r="I33" s="95"/>
    </row>
    <row r="34" spans="2:9" x14ac:dyDescent="0.2">
      <c r="B34" s="20" t="s">
        <v>165</v>
      </c>
      <c r="C34" s="21"/>
      <c r="D34" s="96"/>
      <c r="E34" s="96"/>
      <c r="F34" s="21"/>
      <c r="G34" s="21"/>
      <c r="H34" s="96"/>
      <c r="I34" s="96"/>
    </row>
    <row r="35" spans="2:9" x14ac:dyDescent="0.2">
      <c r="B35" s="22" t="s">
        <v>164</v>
      </c>
      <c r="C35" s="23">
        <f>(C$33*$B$8/($B$7+$B$8)-C$32)/(C$33-C$32)</f>
        <v>0.97347756538446517</v>
      </c>
      <c r="D35" s="97">
        <f>(D33*$B$8/($B$7+$B$8)-D$32)/(D33-D$32)</f>
        <v>0.91592024898757562</v>
      </c>
      <c r="E35" s="97">
        <f>(E33*$B$8/($B$7+$B$8)-E$32)/(E33-E$32)</f>
        <v>0.79419704116848089</v>
      </c>
      <c r="F35" s="21"/>
      <c r="G35" s="78">
        <f t="shared" ref="G35:I38" si="1">C35/$C35-1</f>
        <v>0</v>
      </c>
      <c r="H35" s="109">
        <f t="shared" si="1"/>
        <v>-5.9125467749385541E-2</v>
      </c>
      <c r="I35" s="109">
        <f t="shared" si="1"/>
        <v>-0.18416502916035793</v>
      </c>
    </row>
    <row r="36" spans="2:9" x14ac:dyDescent="0.2">
      <c r="B36" s="22" t="s">
        <v>26</v>
      </c>
      <c r="C36" s="23">
        <f>((C$33-C$32*($B$8+1)/$B$8)/(C$33-C$32))*$B$8/($B$8+1)</f>
        <v>1.1237713615391622</v>
      </c>
      <c r="D36" s="97">
        <f>((D$33-D$32*($B$8+1)/$B$8)/(D$33-D$32))*$B$8/($B$8+1)</f>
        <v>1.392372171391314</v>
      </c>
      <c r="E36" s="97">
        <f>((E$33-E$32*($B$8+1)/$B$8)/(E$33-E$32))*$B$8/($B$8+1)</f>
        <v>1.9604138078804223</v>
      </c>
      <c r="F36" s="21"/>
      <c r="G36" s="78">
        <f t="shared" si="1"/>
        <v>0</v>
      </c>
      <c r="H36" s="109">
        <f t="shared" si="1"/>
        <v>0.23901731174592777</v>
      </c>
      <c r="I36" s="109">
        <f t="shared" si="1"/>
        <v>0.74449525497371738</v>
      </c>
    </row>
    <row r="37" spans="2:9" x14ac:dyDescent="0.2">
      <c r="B37" s="22" t="s">
        <v>27</v>
      </c>
      <c r="C37" s="23">
        <f>(C$33*$B$8/($B$8+1)-(2*$B$8*$B$8+$B$8-$B$7)*$B$7/(($B$7+$B$8)*($B$7+$B$8)))/(C$33-C$32)</f>
        <v>2.7654714201923949</v>
      </c>
      <c r="D37" s="97">
        <f>(D$33*$B$8/($B$8+1)-(2*$B$8*$B$8+$B$8-$B$7)*$B$7/(($B$7+$B$8)*($B$7+$B$8)))/(D$33-D$32)</f>
        <v>2.799046521423914</v>
      </c>
      <c r="E37" s="97">
        <f>(E$33*$B$8/($B$8+1)-(2*$B$8*$B$8+$B$8-$B$7)*$B$7/(($B$7+$B$8)*($B$7+$B$8)))/(E$33-E$32)</f>
        <v>2.8700517259850526</v>
      </c>
      <c r="F37" s="21"/>
      <c r="G37" s="78">
        <f t="shared" si="1"/>
        <v>0</v>
      </c>
      <c r="H37" s="109">
        <f t="shared" si="1"/>
        <v>1.2140823798201916E-2</v>
      </c>
      <c r="I37" s="109">
        <f t="shared" si="1"/>
        <v>3.7816447868183722E-2</v>
      </c>
    </row>
    <row r="38" spans="2:9" x14ac:dyDescent="0.2">
      <c r="B38" s="22" t="s">
        <v>30</v>
      </c>
      <c r="C38" s="23">
        <f>(1-C$25)*C$37</f>
        <v>1.9417134295392064</v>
      </c>
      <c r="D38" s="97">
        <f>(1-D$25)*D$37</f>
        <v>2.0341299239284374</v>
      </c>
      <c r="E38" s="97">
        <f>(1-E$25)*E$37</f>
        <v>2.2763645094831606</v>
      </c>
      <c r="F38" s="21"/>
      <c r="G38" s="78">
        <f t="shared" si="1"/>
        <v>0</v>
      </c>
      <c r="H38" s="109">
        <f t="shared" si="1"/>
        <v>4.7595331516640194E-2</v>
      </c>
      <c r="I38" s="109">
        <f t="shared" si="1"/>
        <v>0.17234833670763217</v>
      </c>
    </row>
    <row r="39" spans="2:9" x14ac:dyDescent="0.2">
      <c r="B39" s="18" t="s">
        <v>168</v>
      </c>
      <c r="D39" s="95"/>
      <c r="E39" s="95"/>
      <c r="H39" s="95"/>
      <c r="I39" s="95"/>
    </row>
    <row r="40" spans="2:9" x14ac:dyDescent="0.2">
      <c r="B40" s="2" t="s">
        <v>158</v>
      </c>
      <c r="C40" s="12">
        <f>2*C$35*C$38</f>
        <v>3.7804289241242941</v>
      </c>
      <c r="D40" s="98">
        <f>2*D$35*D$38</f>
        <v>3.7262015727952251</v>
      </c>
      <c r="E40" s="98">
        <f>2*E$35*E$38</f>
        <v>3.6157639161049331</v>
      </c>
      <c r="G40" s="3">
        <f>C40/$C40-1</f>
        <v>0</v>
      </c>
      <c r="H40" s="110">
        <f>D40/$C40-1</f>
        <v>-1.4344232471353857E-2</v>
      </c>
      <c r="I40" s="110">
        <f>E40/$C40-1</f>
        <v>-4.3557228908226109E-2</v>
      </c>
    </row>
    <row r="41" spans="2:9" x14ac:dyDescent="0.2">
      <c r="B41" s="2" t="s">
        <v>31</v>
      </c>
      <c r="C41" s="12">
        <f>C$33*(C$37-C$36)^2</f>
        <v>4.3541882463949952E-2</v>
      </c>
      <c r="D41" s="98">
        <f>D$33*(D$37-D$36)^2</f>
        <v>0.11827282910630495</v>
      </c>
      <c r="E41" s="98">
        <f>E$33*(E$37-E$36)^2</f>
        <v>0.18720617501127593</v>
      </c>
      <c r="G41" s="3">
        <f>IF($C41&lt;0.000001,"",C41/$C41-1)</f>
        <v>0</v>
      </c>
      <c r="H41" s="110">
        <f>IF($C41&lt;0.000001,"",D41/$C41-1)</f>
        <v>1.716300316235241</v>
      </c>
      <c r="I41" s="110">
        <f>IF($C41&lt;0.000001,"",E41/$C41-1)</f>
        <v>3.299450653431701</v>
      </c>
    </row>
    <row r="42" spans="2:9" x14ac:dyDescent="0.2">
      <c r="B42" s="2" t="s">
        <v>32</v>
      </c>
      <c r="C42" s="12">
        <f>SUM(C40:C41)</f>
        <v>3.8239708065882438</v>
      </c>
      <c r="D42" s="98">
        <f>SUM(D40:D41)</f>
        <v>3.8444744019015302</v>
      </c>
      <c r="E42" s="98">
        <f>SUM(E40:E41)</f>
        <v>3.802970091116209</v>
      </c>
      <c r="G42" s="3">
        <f>C42/$C42-1</f>
        <v>0</v>
      </c>
      <c r="H42" s="110">
        <f>D42/$C42-1</f>
        <v>5.3618597919109501E-3</v>
      </c>
      <c r="I42" s="110">
        <f>E42/$C42-1</f>
        <v>-5.4918608258862633E-3</v>
      </c>
    </row>
    <row r="43" spans="2:9" x14ac:dyDescent="0.2">
      <c r="B43" s="86" t="s">
        <v>169</v>
      </c>
      <c r="C43" s="12"/>
      <c r="D43" s="98"/>
      <c r="E43" s="98"/>
      <c r="G43" s="79"/>
      <c r="H43" s="110"/>
      <c r="I43" s="110"/>
    </row>
    <row r="44" spans="2:9" x14ac:dyDescent="0.2">
      <c r="B44" s="82" t="s">
        <v>183</v>
      </c>
      <c r="C44" s="83">
        <f>Brands!$C$36</f>
        <v>1.8957990530143249</v>
      </c>
      <c r="D44" s="99">
        <f>(D$36-$C$36)*BackgroundInfo1!$B$15*BackgroundInfo1!$B$11/Pharmacy!$C$38+Pharmacy!$C$44</f>
        <v>1.9086680089484307</v>
      </c>
      <c r="E44" s="99">
        <f>(E$36-$C$36)*BackgroundInfo1!$B$15*BackgroundInfo1!$B$11/Pharmacy!$C$38+Pharmacy!$C$44</f>
        <v>1.9358834994480292</v>
      </c>
      <c r="F44" s="84"/>
      <c r="G44" s="85">
        <f>C44/$C44-1</f>
        <v>0</v>
      </c>
      <c r="H44" s="111">
        <f>D44/$C44-1</f>
        <v>6.7881434552063968E-3</v>
      </c>
      <c r="I44" s="111">
        <f>E44/$C44-1</f>
        <v>2.114382659384173E-2</v>
      </c>
    </row>
    <row r="45" spans="2:9" x14ac:dyDescent="0.2">
      <c r="B45" s="80" t="s">
        <v>170</v>
      </c>
      <c r="C45" s="27">
        <f>Brands!$C$42</f>
        <v>18.946118761159624</v>
      </c>
      <c r="D45" s="100">
        <f>$C$45*(D$44/$C$44)^Brands!$B$7</f>
        <v>18.882139815189877</v>
      </c>
      <c r="E45" s="100">
        <f>$C$45*(E$44/$C$44)^Brands!$B$7</f>
        <v>18.748943366214483</v>
      </c>
      <c r="F45" s="28"/>
      <c r="G45" s="81">
        <f>G$35*(1-BackgroundInfo1!$B$5)*Pharmacy!$B$18</f>
        <v>0</v>
      </c>
      <c r="H45" s="112">
        <f t="shared" ref="H45:I47" si="2">D45/$C45-1</f>
        <v>-3.3768893131245203E-3</v>
      </c>
      <c r="I45" s="112">
        <f t="shared" si="2"/>
        <v>-1.040716557469068E-2</v>
      </c>
    </row>
    <row r="46" spans="2:9" x14ac:dyDescent="0.2">
      <c r="B46" s="80" t="s">
        <v>171</v>
      </c>
      <c r="C46" s="27">
        <f>Brands!$C$47/Brands!$C$42</f>
        <v>1.2442914129113134</v>
      </c>
      <c r="D46" s="100">
        <f>C46</f>
        <v>1.2442914129113134</v>
      </c>
      <c r="E46" s="100">
        <f>D46</f>
        <v>1.2442914129113134</v>
      </c>
      <c r="F46" s="21"/>
      <c r="G46" s="81">
        <f>G$35*(1-BackgroundInfo1!$B$5)*Pharmacy!$B$18</f>
        <v>0</v>
      </c>
      <c r="H46" s="112">
        <f t="shared" si="2"/>
        <v>0</v>
      </c>
      <c r="I46" s="112">
        <f t="shared" si="2"/>
        <v>0</v>
      </c>
    </row>
    <row r="47" spans="2:9" x14ac:dyDescent="0.2">
      <c r="B47" s="80" t="s">
        <v>172</v>
      </c>
      <c r="C47" s="27">
        <f>C45*C46</f>
        <v>23.574492882508853</v>
      </c>
      <c r="D47" s="100">
        <f>D45*D46</f>
        <v>23.494884429431579</v>
      </c>
      <c r="E47" s="100">
        <f>E45*E46</f>
        <v>23.329149231741216</v>
      </c>
      <c r="F47" s="21"/>
      <c r="G47" s="81">
        <f>G$35*(1-BackgroundInfo1!$B$5)*Pharmacy!$B$18</f>
        <v>0</v>
      </c>
      <c r="H47" s="112">
        <f t="shared" si="2"/>
        <v>-3.3768893131245203E-3</v>
      </c>
      <c r="I47" s="112">
        <f t="shared" si="2"/>
        <v>-1.040716557469068E-2</v>
      </c>
    </row>
    <row r="48" spans="2:9" x14ac:dyDescent="0.2">
      <c r="B48" s="18" t="s">
        <v>176</v>
      </c>
      <c r="C48" s="27"/>
      <c r="D48" s="100"/>
      <c r="E48" s="100"/>
      <c r="F48" s="21"/>
      <c r="G48" s="81"/>
      <c r="H48" s="112"/>
      <c r="I48" s="112"/>
    </row>
    <row r="49" spans="2:9" x14ac:dyDescent="0.2">
      <c r="B49" s="87" t="s">
        <v>174</v>
      </c>
      <c r="C49" s="88">
        <f>C$47+C$42*$C$47*(BackgroundInfo1!$B$11/(1-BackgroundInfo1!$B$11))/$C$42</f>
        <v>27.734697508833946</v>
      </c>
      <c r="D49" s="101">
        <f>D$47+D$42*$C$47*(BackgroundInfo1!$B$11/(1-BackgroundInfo1!$B$11))/$C$42</f>
        <v>27.677395489668683</v>
      </c>
      <c r="E49" s="101">
        <f>E$47+E$42*$C$47*(BackgroundInfo1!$B$11/(1-BackgroundInfo1!$B$11))/$C$42</f>
        <v>27.466506593251321</v>
      </c>
      <c r="F49" s="89"/>
      <c r="G49" s="90">
        <f>G$35*(1-BackgroundInfo1!$B$5)*Pharmacy!$B$18</f>
        <v>0</v>
      </c>
      <c r="H49" s="113">
        <f t="shared" ref="H49:I54" si="3">D49/$C49-1</f>
        <v>-2.0660769473692664E-3</v>
      </c>
      <c r="I49" s="113">
        <f t="shared" si="3"/>
        <v>-9.6698698623701729E-3</v>
      </c>
    </row>
    <row r="50" spans="2:9" x14ac:dyDescent="0.2">
      <c r="B50" s="87" t="s">
        <v>177</v>
      </c>
      <c r="C50" s="88">
        <f>(C$24/(1-C$24))*C$42*$C$47*(BackgroundInfo1!$B$11/(1-BackgroundInfo1!$B$11))/$C$40</f>
        <v>1.7852649945572754</v>
      </c>
      <c r="D50" s="101">
        <f>(D$24/(1-D$24))*D$42*$C$47*(BackgroundInfo1!$B$11/(1-BackgroundInfo1!$B$11))/$C$40</f>
        <v>1.5909113662754832</v>
      </c>
      <c r="E50" s="101">
        <f>(E$24/(1-E$24))*E$42*$C$47*(BackgroundInfo1!$B$11/(1-BackgroundInfo1!$B$11))/$C$40</f>
        <v>1.0914715421407817</v>
      </c>
      <c r="F50" s="89"/>
      <c r="G50" s="90">
        <f>G$35*(1-BackgroundInfo1!$B$5)*Pharmacy!$B$18</f>
        <v>0</v>
      </c>
      <c r="H50" s="113">
        <f t="shared" si="3"/>
        <v>-0.10886542270997113</v>
      </c>
      <c r="I50" s="113">
        <f t="shared" si="3"/>
        <v>-0.38862211186107209</v>
      </c>
    </row>
    <row r="51" spans="2:9" x14ac:dyDescent="0.2">
      <c r="B51" s="87" t="s">
        <v>178</v>
      </c>
      <c r="C51" s="88">
        <f>BackgroundInfo1!$B$8*C$49</f>
        <v>7.7457263312959661</v>
      </c>
      <c r="D51" s="101">
        <f>BackgroundInfo1!$B$8*D$49</f>
        <v>7.7297230646822443</v>
      </c>
      <c r="E51" s="101">
        <f>BackgroundInfo1!$B$8*E$49</f>
        <v>7.6708261656828007</v>
      </c>
      <c r="F51" s="89"/>
      <c r="G51" s="90">
        <f>G$35*(1-BackgroundInfo1!$B$5)*Pharmacy!$B$18</f>
        <v>0</v>
      </c>
      <c r="H51" s="113">
        <f t="shared" si="3"/>
        <v>-2.0660769473692664E-3</v>
      </c>
      <c r="I51" s="113">
        <f t="shared" si="3"/>
        <v>-9.6698698623700619E-3</v>
      </c>
    </row>
    <row r="52" spans="2:9" x14ac:dyDescent="0.2">
      <c r="B52" s="91" t="s">
        <v>175</v>
      </c>
      <c r="C52" s="88">
        <f>SUM(C49:C51)</f>
        <v>37.265688834687182</v>
      </c>
      <c r="D52" s="101">
        <f>SUM(D49:D51)</f>
        <v>36.998029920626415</v>
      </c>
      <c r="E52" s="101">
        <f>SUM(E49:E51)</f>
        <v>36.228804301074902</v>
      </c>
      <c r="F52" s="89"/>
      <c r="G52" s="90">
        <f>G$35*(1-BackgroundInfo1!$B$5)*Pharmacy!$B$18</f>
        <v>0</v>
      </c>
      <c r="H52" s="113">
        <f t="shared" si="3"/>
        <v>-7.1824491222507447E-3</v>
      </c>
      <c r="I52" s="113">
        <f t="shared" si="3"/>
        <v>-2.7824107537954279E-2</v>
      </c>
    </row>
    <row r="53" spans="2:9" x14ac:dyDescent="0.2">
      <c r="B53" s="91" t="s">
        <v>78</v>
      </c>
      <c r="C53" s="88">
        <f>C$52*BackgroundInfo1!$C$41</f>
        <v>3.5846847484261715</v>
      </c>
      <c r="D53" s="101">
        <f>(D$52-D$50)*BackgroundInfo1!$C$41</f>
        <v>3.4059039786045195</v>
      </c>
      <c r="E53" s="101">
        <f>(E$52-E$50)*BackgroundInfo1!$C$41</f>
        <v>3.3799525724608479</v>
      </c>
      <c r="F53" s="89"/>
      <c r="G53" s="92">
        <f>C53/$C53-1</f>
        <v>0</v>
      </c>
      <c r="H53" s="113">
        <f t="shared" si="3"/>
        <v>-4.9873498611040845E-2</v>
      </c>
      <c r="I53" s="113">
        <f t="shared" si="3"/>
        <v>-5.711302118134931E-2</v>
      </c>
    </row>
    <row r="54" spans="2:9" x14ac:dyDescent="0.2">
      <c r="B54" s="31" t="s">
        <v>120</v>
      </c>
      <c r="C54" s="32">
        <f>C49-C53</f>
        <v>24.150012760407776</v>
      </c>
      <c r="D54" s="103">
        <f>D49-D53</f>
        <v>24.271491511064163</v>
      </c>
      <c r="E54" s="103">
        <f>E49-E53</f>
        <v>24.086554020790473</v>
      </c>
      <c r="F54" s="33"/>
      <c r="G54" s="34">
        <f>C54/$C54-1</f>
        <v>0</v>
      </c>
      <c r="H54" s="114">
        <f t="shared" si="3"/>
        <v>5.03017335276712E-3</v>
      </c>
      <c r="I54" s="114">
        <f t="shared" si="3"/>
        <v>-2.6276896930398363E-3</v>
      </c>
    </row>
    <row r="55" spans="2:9" x14ac:dyDescent="0.2">
      <c r="B55" s="31"/>
      <c r="C55" s="32"/>
      <c r="D55" s="102"/>
      <c r="E55" s="103"/>
      <c r="F55" s="33"/>
      <c r="G55" s="57"/>
      <c r="H55" s="114"/>
      <c r="I55" s="114"/>
    </row>
    <row r="56" spans="2:9" x14ac:dyDescent="0.2">
      <c r="D56" s="102"/>
      <c r="E56" s="95"/>
      <c r="G56" s="182" t="s">
        <v>179</v>
      </c>
      <c r="H56" s="182"/>
      <c r="I56" s="182"/>
    </row>
    <row r="57" spans="2:9" x14ac:dyDescent="0.2">
      <c r="B57" s="2" t="s">
        <v>181</v>
      </c>
      <c r="C57" s="12">
        <f>C$35*(($B$8+$B$7)*C$35+2*$B$8*($B$7-1))/($B$7*($B$8+1))-2*C$35-C$41</f>
        <v>4.6198420663590181</v>
      </c>
      <c r="D57" s="98">
        <f>D$35*(($B$8+$B$7)*D$35+2*$B$8*($B$7-1))/($B$7*($B$8+1))-2*D$35-D$41</f>
        <v>4.5154032830855764</v>
      </c>
      <c r="E57" s="98">
        <f>E$35*(($B$8+$B$7)*E$35+2*$B$8*($B$7-1))/($B$7*($B$8+1))-2*E$35-E$41</f>
        <v>4.2818044882909536</v>
      </c>
      <c r="G57" s="3">
        <f t="shared" ref="G57:I60" si="4">(C57-$C57)/$C$50</f>
        <v>0</v>
      </c>
      <c r="H57" s="110">
        <f t="shared" si="4"/>
        <v>-5.8500437521512752E-2</v>
      </c>
      <c r="I57" s="110">
        <f t="shared" si="4"/>
        <v>-0.18934868442423797</v>
      </c>
    </row>
    <row r="58" spans="2:9" x14ac:dyDescent="0.2">
      <c r="B58" s="2" t="s">
        <v>180</v>
      </c>
      <c r="C58" s="12">
        <f>(C$38-1)*2*C$35</f>
        <v>1.8334737933553635</v>
      </c>
      <c r="D58" s="98">
        <f>(D$38-1)*2*D$35</f>
        <v>1.8943610748200741</v>
      </c>
      <c r="E58" s="98">
        <f>(E$38-1)*2*E$35</f>
        <v>2.0273698337679713</v>
      </c>
      <c r="G58" s="3">
        <f t="shared" si="4"/>
        <v>0</v>
      </c>
      <c r="H58" s="110">
        <f t="shared" si="4"/>
        <v>3.4105458657587073E-2</v>
      </c>
      <c r="I58" s="110">
        <f t="shared" si="4"/>
        <v>0.10860910901392076</v>
      </c>
    </row>
    <row r="59" spans="2:9" x14ac:dyDescent="0.2">
      <c r="B59" s="2" t="s">
        <v>50</v>
      </c>
      <c r="C59" s="12">
        <f>C57-C58</f>
        <v>2.7863682730036547</v>
      </c>
      <c r="D59" s="98">
        <f>D57-D58</f>
        <v>2.6210422082655023</v>
      </c>
      <c r="E59" s="98">
        <f>E57-E58</f>
        <v>2.2544346545229823</v>
      </c>
      <c r="G59" s="3">
        <f t="shared" si="4"/>
        <v>0</v>
      </c>
      <c r="H59" s="110">
        <f t="shared" si="4"/>
        <v>-9.260589617909995E-2</v>
      </c>
      <c r="I59" s="110">
        <f t="shared" si="4"/>
        <v>-0.29795779343815887</v>
      </c>
    </row>
    <row r="60" spans="2:9" x14ac:dyDescent="0.2">
      <c r="B60" s="2" t="s">
        <v>182</v>
      </c>
      <c r="C60" s="12">
        <f>(C$46-1)*C$45</f>
        <v>4.6283741213492275</v>
      </c>
      <c r="D60" s="98">
        <f>(D$46-1)*D$45</f>
        <v>4.6127446142417012</v>
      </c>
      <c r="E60" s="98">
        <f>(E$46-1)*E$45</f>
        <v>4.5802058655267324</v>
      </c>
      <c r="G60" s="3">
        <f t="shared" si="4"/>
        <v>0</v>
      </c>
      <c r="H60" s="110">
        <f t="shared" si="4"/>
        <v>-8.7547266961352371E-3</v>
      </c>
      <c r="I60" s="110">
        <f t="shared" si="4"/>
        <v>-2.6981011765393591E-2</v>
      </c>
    </row>
    <row r="61" spans="2:9" x14ac:dyDescent="0.2">
      <c r="B61" s="2" t="s">
        <v>184</v>
      </c>
      <c r="C61" s="12">
        <f>Brands!$C$38*Pharmacy!C$45*(1-BackgroundInfo1!$B$5)</f>
        <v>6.3697968590614318</v>
      </c>
      <c r="D61" s="98">
        <f>Brands!$C$38*Pharmacy!D$45*(1-BackgroundInfo1!$B$5)</f>
        <v>6.3482867601212929</v>
      </c>
      <c r="E61" s="98">
        <f>Brands!$C$38*Pharmacy!E$45*(1-BackgroundInfo1!$B$5)</f>
        <v>6.3035053284720348</v>
      </c>
      <c r="G61" s="3"/>
      <c r="H61" s="110"/>
      <c r="I61" s="110"/>
    </row>
    <row r="62" spans="2:9" x14ac:dyDescent="0.2">
      <c r="B62" s="54" t="s">
        <v>113</v>
      </c>
      <c r="C62" s="48"/>
      <c r="D62" s="104"/>
      <c r="E62" s="104"/>
      <c r="F62" s="48"/>
      <c r="G62" s="50">
        <f>G45*BenefitParams!$B$21/BackgroundInfo1!$B$20</f>
        <v>0</v>
      </c>
      <c r="H62" s="115">
        <f>H45*BenefitParams!$B$21/BackgroundInfo1!$B$20</f>
        <v>-3.7539939873673614E-2</v>
      </c>
      <c r="I62" s="115">
        <f>I45*BenefitParams!$B$21/BackgroundInfo1!$B$20</f>
        <v>-0.11569356697918151</v>
      </c>
    </row>
    <row r="63" spans="2:9" x14ac:dyDescent="0.2">
      <c r="B63" s="47" t="s">
        <v>125</v>
      </c>
      <c r="C63" s="48"/>
      <c r="D63" s="104"/>
      <c r="E63" s="104"/>
      <c r="F63" s="48"/>
      <c r="G63" s="50">
        <f>G62*BenefitParams!$B$12</f>
        <v>0</v>
      </c>
      <c r="H63" s="115">
        <f>H62*BenefitParams!$B$12</f>
        <v>-1.5486894212011696E-2</v>
      </c>
      <c r="I63" s="115">
        <f>I62*BenefitParams!$B$12</f>
        <v>-4.7728740079133664E-2</v>
      </c>
    </row>
    <row r="64" spans="2:9" x14ac:dyDescent="0.2">
      <c r="B64" s="31" t="s">
        <v>119</v>
      </c>
      <c r="C64" s="33"/>
      <c r="D64" s="105"/>
      <c r="E64" s="105"/>
      <c r="F64" s="33"/>
      <c r="G64" s="57">
        <f>G$54*$C$54/$C$50-G$62*(1-BackgroundInfo1!$D$42)</f>
        <v>0</v>
      </c>
      <c r="H64" s="114">
        <f>H$54*$C$54/$C$50-H$62*(1-BackgroundInfo1!$D$42)</f>
        <v>0.10176210352009778</v>
      </c>
      <c r="I64" s="114">
        <f>I$54*$C$54/$C$50-I$62*(1-BackgroundInfo1!$D$42)</f>
        <v>6.836552845231457E-2</v>
      </c>
    </row>
    <row r="65" spans="2:9" x14ac:dyDescent="0.2">
      <c r="B65" s="53" t="s">
        <v>127</v>
      </c>
      <c r="D65" s="95"/>
      <c r="E65" s="95"/>
      <c r="G65" s="34">
        <f>-G62*(1-BackgroundInfo1!$D$42)</f>
        <v>0</v>
      </c>
      <c r="H65" s="114">
        <f>-H62*(1-BackgroundInfo1!$D$42)</f>
        <v>3.3716882767581766E-2</v>
      </c>
      <c r="I65" s="114">
        <f>-I62*(1-BackgroundInfo1!$D$42)</f>
        <v>0.10391136607909281</v>
      </c>
    </row>
    <row r="66" spans="2:9" x14ac:dyDescent="0.2">
      <c r="B66" s="53" t="s">
        <v>131</v>
      </c>
      <c r="D66" s="95"/>
      <c r="E66" s="95"/>
      <c r="G66" s="34">
        <f>BenefitParams!$B$6*(Pharmacy!C$54-Pharmacy!$C$54)/$C$50+BenefitParams!$B$7*Pharmacy!G$65</f>
        <v>0</v>
      </c>
      <c r="H66" s="114">
        <f>BenefitParams!$B$6*(Pharmacy!D$54-Pharmacy!$C$54)/$C$50+BenefitParams!$B$7*Pharmacy!H$65</f>
        <v>7.58127671224718E-2</v>
      </c>
      <c r="I66" s="114">
        <f>BenefitParams!$B$6*(Pharmacy!E$54-Pharmacy!$C$54)/$C$50+BenefitParams!$B$7*Pharmacy!I$65</f>
        <v>5.0932318696974711E-2</v>
      </c>
    </row>
    <row r="67" spans="2:9" x14ac:dyDescent="0.2">
      <c r="B67" s="53" t="s">
        <v>132</v>
      </c>
      <c r="D67" s="95"/>
      <c r="E67" s="95"/>
      <c r="G67" s="34">
        <f>G66*BackgroundInfo2!$B$15</f>
        <v>0</v>
      </c>
      <c r="H67" s="114">
        <f>H66*BackgroundInfo2!$B$15</f>
        <v>3.79063835612359E-2</v>
      </c>
      <c r="I67" s="114">
        <f>I66*BackgroundInfo2!$B$15</f>
        <v>2.5466159348487356E-2</v>
      </c>
    </row>
    <row r="68" spans="2:9" x14ac:dyDescent="0.2">
      <c r="B68" s="71" t="s">
        <v>152</v>
      </c>
      <c r="D68" s="95"/>
      <c r="E68" s="95"/>
      <c r="G68" s="73">
        <f>(C$61-$C$61)*BackgroundInfo2!$B$26/$C$50</f>
        <v>0</v>
      </c>
      <c r="H68" s="116">
        <f>(D$61-$C$61)*BackgroundInfo2!$B$26/$C$50</f>
        <v>-4.9870692740596554E-3</v>
      </c>
      <c r="I68" s="116">
        <f>(E$61-$C$61)*BackgroundInfo2!$B$26/$C$50</f>
        <v>-1.5369546009658322E-2</v>
      </c>
    </row>
    <row r="69" spans="2:9" x14ac:dyDescent="0.2">
      <c r="B69" s="53"/>
      <c r="G69" s="34"/>
      <c r="H69" s="35"/>
      <c r="I69" s="35"/>
    </row>
    <row r="72" spans="2:9" x14ac:dyDescent="0.2">
      <c r="C72" s="3"/>
      <c r="D72" s="3"/>
      <c r="E72" s="3"/>
    </row>
  </sheetData>
  <mergeCells count="10">
    <mergeCell ref="G56:I56"/>
    <mergeCell ref="C6:F6"/>
    <mergeCell ref="C7:G7"/>
    <mergeCell ref="C8:G8"/>
    <mergeCell ref="C9:G9"/>
    <mergeCell ref="C19:J20"/>
    <mergeCell ref="G21:I21"/>
    <mergeCell ref="D23:E23"/>
    <mergeCell ref="C21:E21"/>
    <mergeCell ref="H23:I23"/>
  </mergeCells>
  <conditionalFormatting sqref="B7:B8">
    <cfRule type="cellIs" dxfId="4" priority="9" operator="lessThan">
      <formula>$K$26</formula>
    </cfRule>
  </conditionalFormatting>
  <conditionalFormatting sqref="B9">
    <cfRule type="cellIs" dxfId="3" priority="7" operator="greaterThan">
      <formula>$B$13</formula>
    </cfRule>
  </conditionalFormatting>
  <conditionalFormatting sqref="C25">
    <cfRule type="cellIs" dxfId="2" priority="6" operator="equal">
      <formula>C$24</formula>
    </cfRule>
  </conditionalFormatting>
  <conditionalFormatting sqref="D24:E24">
    <cfRule type="cellIs" dxfId="1" priority="1" operator="greaterThan">
      <formula>$B$13</formula>
    </cfRule>
  </conditionalFormatting>
  <conditionalFormatting sqref="D25:E25">
    <cfRule type="cellIs" dxfId="0" priority="4" operator="equal">
      <formula>D$24</formula>
    </cfRule>
  </conditionalFormatting>
  <dataValidations count="6">
    <dataValidation type="custom" allowBlank="1" showInputMessage="1" showErrorMessage="1" promptTitle="beta" prompt="Share of management surplus going to plans and patients" sqref="C26" xr:uid="{B8A377A1-C63E-F249-9DAE-67800247C3AE}">
      <formula1>AND(C26&gt;=$B$15,C26&lt;=$B$16)</formula1>
    </dataValidation>
    <dataValidation type="custom" operator="lessThan" allowBlank="1" showInputMessage="1" showErrorMessage="1" errorTitle="Rebate rate out of range" error="Must be positive but below Maximum." promptTitle="Baselinediscount" prompt="Baseline discounts as a ratio to gross drug costs" sqref="B9" xr:uid="{BFC58B95-7CDC-2C40-8CF9-9F8FCA7FEC6C}">
      <formula1>AND(B9&gt;0,B9&lt;=$B$13)</formula1>
    </dataValidation>
    <dataValidation type="custom" operator="lessThan" allowBlank="1" showInputMessage="1" showErrorMessage="1" errorTitle="epsilon out of range" error="Must be less than BOTH -1 and industry elasticity." promptTitle="epsilon" prompt="Own-price elasticity of demand" sqref="B8" xr:uid="{BE1B1F1F-2AFD-6E4E-8084-F757BEBA52DB}">
      <formula1>AND(B8&lt;-1,B8&lt;B7)</formula1>
    </dataValidation>
    <dataValidation type="custom" operator="lessThan" allowBlank="1" showInputMessage="1" showErrorMessage="1" errorTitle="eta out of range" error="Must be in the interval (own elas,0)." promptTitle="eta" prompt="Industry elasticity of demand" sqref="B7" xr:uid="{805CF186-BDFD-4A47-9506-320955FBFEE4}">
      <formula1>AND(B7&lt;0,B7&gt;B8)</formula1>
    </dataValidation>
    <dataValidation type="custom" operator="lessThan" allowBlank="1" showInputMessage="1" showErrorMessage="1" errorTitle="Rebate rate out of range" error="Must be positive but below Maximum." promptTitle="Scenario2rr" prompt="Rebate rate scenario" sqref="E24" xr:uid="{7F012BFA-F3C0-7348-95B0-69737E49FE16}">
      <formula1>AND(E24&gt;0,E24&lt;=$B$13)</formula1>
    </dataValidation>
    <dataValidation type="custom" operator="lessThan" allowBlank="1" showInputMessage="1" showErrorMessage="1" errorTitle="Rebate rate out of range" error="Must be positive but below Maximum." promptTitle="Scenario1rr" prompt="Rebate rate scenario" sqref="D24" xr:uid="{9F7B261F-C84B-7B44-86CB-EF514E0D0090}">
      <formula1>AND(D24&gt;0,D24&lt;=$B$13)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CB2C1-FD53-794F-8C40-D11F5E056E69}">
  <dimension ref="A1:F21"/>
  <sheetViews>
    <sheetView showGridLines="0" workbookViewId="0"/>
  </sheetViews>
  <sheetFormatPr baseColWidth="10" defaultRowHeight="16" x14ac:dyDescent="0.2"/>
  <cols>
    <col min="1" max="1" width="38.83203125" customWidth="1"/>
  </cols>
  <sheetData>
    <row r="1" spans="1:6" x14ac:dyDescent="0.2">
      <c r="A1" s="17" t="s">
        <v>51</v>
      </c>
    </row>
    <row r="2" spans="1:6" x14ac:dyDescent="0.2">
      <c r="D2" s="187" t="s">
        <v>54</v>
      </c>
    </row>
    <row r="3" spans="1:6" x14ac:dyDescent="0.2">
      <c r="A3" s="5" t="s">
        <v>1</v>
      </c>
      <c r="B3" s="6" t="s">
        <v>52</v>
      </c>
      <c r="C3" s="6" t="s">
        <v>53</v>
      </c>
      <c r="D3" s="188"/>
      <c r="F3" s="5" t="s">
        <v>112</v>
      </c>
    </row>
    <row r="4" spans="1:6" x14ac:dyDescent="0.2">
      <c r="A4" t="s">
        <v>67</v>
      </c>
      <c r="B4" s="12">
        <f>BackgroundInfo1!$C$33/(BackgroundInfo1!$C$33+BackgroundInfo1!$C$34)</f>
        <v>0.13346727898966704</v>
      </c>
      <c r="C4" s="12">
        <f>B4</f>
        <v>0.13346727898966704</v>
      </c>
      <c r="D4" s="12">
        <f>B4</f>
        <v>0.13346727898966704</v>
      </c>
    </row>
    <row r="5" spans="1:6" x14ac:dyDescent="0.2">
      <c r="A5" t="s">
        <v>55</v>
      </c>
      <c r="B5" s="12">
        <f>BackgroundInfo1!$D$33/(BackgroundInfo1!$D$33+BackgroundInfo1!$D$34)</f>
        <v>0.1018397237437485</v>
      </c>
      <c r="C5" s="12">
        <f>B5</f>
        <v>0.1018397237437485</v>
      </c>
      <c r="D5" s="12">
        <f>B5</f>
        <v>0.1018397237437485</v>
      </c>
    </row>
    <row r="6" spans="1:6" x14ac:dyDescent="0.2">
      <c r="A6" t="s">
        <v>56</v>
      </c>
      <c r="B6">
        <f>BackgroundInfo1!$E$29</f>
        <v>0.745</v>
      </c>
      <c r="C6" s="12">
        <f>BackgroundInfo1!$C$36</f>
        <v>0.48793303551875739</v>
      </c>
      <c r="D6" s="12">
        <f>BackgroundInfo1!$C$35</f>
        <v>0.82953256910633788</v>
      </c>
    </row>
    <row r="7" spans="1:6" x14ac:dyDescent="0.2">
      <c r="A7" t="s">
        <v>57</v>
      </c>
      <c r="B7">
        <f>B6</f>
        <v>0.745</v>
      </c>
      <c r="C7" s="12">
        <f>BackgroundInfo1!$D$36</f>
        <v>0.48793303551875733</v>
      </c>
      <c r="D7" s="12">
        <f>BackgroundInfo1!$D$35</f>
        <v>0.75703829954086921</v>
      </c>
    </row>
    <row r="8" spans="1:6" x14ac:dyDescent="0.2">
      <c r="A8" t="s">
        <v>58</v>
      </c>
      <c r="B8" s="12">
        <f>BackgroundInfo2!$B$6</f>
        <v>0.87273927661881068</v>
      </c>
      <c r="C8" s="12">
        <f>B8</f>
        <v>0.87273927661881068</v>
      </c>
      <c r="D8" s="12">
        <f>B8</f>
        <v>0.87273927661881068</v>
      </c>
    </row>
    <row r="9" spans="1:6" ht="34" x14ac:dyDescent="0.2">
      <c r="A9" s="36" t="s">
        <v>60</v>
      </c>
      <c r="B9" s="45">
        <f>BackgroundInfo1!$G$29</f>
        <v>0.53217792441494705</v>
      </c>
      <c r="C9" s="45">
        <f>BackgroundInfo1!$C$39</f>
        <v>0.91016369044188727</v>
      </c>
      <c r="D9" s="45">
        <f>BackgroundInfo1!$C$38</f>
        <v>0.81642187014719658</v>
      </c>
    </row>
    <row r="10" spans="1:6" hidden="1" x14ac:dyDescent="0.2">
      <c r="A10" t="s">
        <v>61</v>
      </c>
      <c r="B10">
        <f>B8*B9</f>
        <v>0.46445257678640101</v>
      </c>
      <c r="C10">
        <f>C8*C9</f>
        <v>0.79433560080095988</v>
      </c>
      <c r="D10">
        <f>D8*D9</f>
        <v>0.71252343236804094</v>
      </c>
    </row>
    <row r="11" spans="1:6" hidden="1" x14ac:dyDescent="0.2">
      <c r="A11" t="s">
        <v>62</v>
      </c>
      <c r="B11">
        <f>(B$5+B$10*(1-B$5)*(1-B$7))/(1-(1-B$4)*B$6)</f>
        <v>0.58745554030914948</v>
      </c>
      <c r="C11">
        <f>(C$5+C$10*(1-C$5)*(1-C$7))/(1-(1-C$4)*C$6)</f>
        <v>0.8093852642031667</v>
      </c>
      <c r="D11">
        <f>(D$5+D$10*(1-D$5)*(1-D$7))/(1-(1-D$4)*D$6)</f>
        <v>0.91515367981925155</v>
      </c>
    </row>
    <row r="12" spans="1:6" x14ac:dyDescent="0.2">
      <c r="A12" t="s">
        <v>63</v>
      </c>
      <c r="B12" s="12">
        <f>1-B11</f>
        <v>0.41254445969085052</v>
      </c>
      <c r="C12" s="12">
        <f>1-C11</f>
        <v>0.1906147357968333</v>
      </c>
      <c r="D12" s="12">
        <f>1-D11</f>
        <v>8.4846320180748447E-2</v>
      </c>
      <c r="F12" t="s">
        <v>368</v>
      </c>
    </row>
    <row r="13" spans="1:6" x14ac:dyDescent="0.2">
      <c r="A13" s="37" t="s">
        <v>64</v>
      </c>
    </row>
    <row r="14" spans="1:6" x14ac:dyDescent="0.2">
      <c r="A14" t="s">
        <v>65</v>
      </c>
      <c r="B14" s="12">
        <f>B12*$B$21</f>
        <v>0.29184568140117439</v>
      </c>
      <c r="C14" s="12">
        <f>C12*$B$21</f>
        <v>0.13484628419302808</v>
      </c>
      <c r="D14" s="12">
        <f>D12*$B$21</f>
        <v>6.0022699483320494E-2</v>
      </c>
      <c r="F14" t="s">
        <v>91</v>
      </c>
    </row>
    <row r="15" spans="1:6" x14ac:dyDescent="0.2">
      <c r="A15" s="37" t="str">
        <f>"= "&amp;TEXT($B$21,0.01)&amp;"*(g)"</f>
        <v>= 0.71*(g)</v>
      </c>
    </row>
    <row r="17" spans="1:6" x14ac:dyDescent="0.2">
      <c r="A17" s="6" t="s">
        <v>92</v>
      </c>
      <c r="B17" s="6" t="s">
        <v>2</v>
      </c>
    </row>
    <row r="18" spans="1:6" x14ac:dyDescent="0.2">
      <c r="A18" s="2" t="s">
        <v>97</v>
      </c>
      <c r="B18">
        <f>BackgroundInfo2!$B$7*BackgroundInfo2!$B$8</f>
        <v>9.6750000000000017E-2</v>
      </c>
      <c r="F18" t="s">
        <v>104</v>
      </c>
    </row>
    <row r="19" spans="1:6" x14ac:dyDescent="0.2">
      <c r="A19" s="2" t="s">
        <v>66</v>
      </c>
      <c r="B19" s="38">
        <f>BackgroundInfo2!$B$10*BackgroundInfo2!$B$11/BackgroundInfo2!$B$12</f>
        <v>1.8956834313497564</v>
      </c>
    </row>
    <row r="20" spans="1:6" x14ac:dyDescent="0.2">
      <c r="A20" s="2" t="s">
        <v>99</v>
      </c>
      <c r="B20" s="38">
        <f>1+BackgroundInfo2!$B$9</f>
        <v>1.35</v>
      </c>
    </row>
    <row r="21" spans="1:6" x14ac:dyDescent="0.2">
      <c r="A21" s="2" t="s">
        <v>103</v>
      </c>
      <c r="B21" s="38">
        <f>B18*B19/(1-1/B20)</f>
        <v>0.70742843479191442</v>
      </c>
      <c r="F21" t="s">
        <v>369</v>
      </c>
    </row>
  </sheetData>
  <mergeCells count="1">
    <mergeCell ref="D2:D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42AE6-4D8A-024D-9520-6411FE451487}">
  <dimension ref="A1:H53"/>
  <sheetViews>
    <sheetView workbookViewId="0"/>
  </sheetViews>
  <sheetFormatPr baseColWidth="10" defaultRowHeight="16" x14ac:dyDescent="0.2"/>
  <cols>
    <col min="1" max="1" width="26.83203125" customWidth="1"/>
    <col min="3" max="3" width="24.6640625" bestFit="1" customWidth="1"/>
    <col min="6" max="6" width="11.5" bestFit="1" customWidth="1"/>
    <col min="7" max="7" width="11.5" customWidth="1"/>
  </cols>
  <sheetData>
    <row r="1" spans="1:4" x14ac:dyDescent="0.2">
      <c r="A1" s="17" t="s">
        <v>185</v>
      </c>
    </row>
    <row r="2" spans="1:4" x14ac:dyDescent="0.2">
      <c r="A2" s="15" t="s">
        <v>37</v>
      </c>
    </row>
    <row r="4" spans="1:4" x14ac:dyDescent="0.2">
      <c r="A4" s="5" t="s">
        <v>94</v>
      </c>
      <c r="B4" s="6" t="s">
        <v>2</v>
      </c>
      <c r="C4" s="5" t="s">
        <v>3</v>
      </c>
      <c r="D4" s="5" t="s">
        <v>41</v>
      </c>
    </row>
    <row r="5" spans="1:4" x14ac:dyDescent="0.2">
      <c r="A5" t="s">
        <v>40</v>
      </c>
      <c r="B5" s="4">
        <v>0.9</v>
      </c>
      <c r="C5" t="s">
        <v>89</v>
      </c>
      <c r="D5" t="s">
        <v>42</v>
      </c>
    </row>
    <row r="7" spans="1:4" x14ac:dyDescent="0.2">
      <c r="A7" t="s">
        <v>115</v>
      </c>
    </row>
    <row r="8" spans="1:4" x14ac:dyDescent="0.2">
      <c r="A8" s="14" t="s">
        <v>52</v>
      </c>
      <c r="B8" s="76">
        <f>31/111</f>
        <v>0.27927927927927926</v>
      </c>
      <c r="C8" t="s">
        <v>89</v>
      </c>
      <c r="D8" t="s">
        <v>114</v>
      </c>
    </row>
    <row r="9" spans="1:4" x14ac:dyDescent="0.2">
      <c r="A9" s="77" t="s">
        <v>375</v>
      </c>
    </row>
    <row r="10" spans="1:4" x14ac:dyDescent="0.2">
      <c r="A10" s="14" t="s">
        <v>52</v>
      </c>
      <c r="B10" s="170">
        <v>31</v>
      </c>
      <c r="D10" t="s">
        <v>377</v>
      </c>
    </row>
    <row r="11" spans="1:4" x14ac:dyDescent="0.2">
      <c r="A11" s="77" t="s">
        <v>207</v>
      </c>
      <c r="B11" s="76">
        <v>0.15</v>
      </c>
      <c r="C11" t="s">
        <v>89</v>
      </c>
      <c r="D11" t="s">
        <v>160</v>
      </c>
    </row>
    <row r="12" spans="1:4" x14ac:dyDescent="0.2">
      <c r="A12" s="77" t="s">
        <v>161</v>
      </c>
    </row>
    <row r="13" spans="1:4" x14ac:dyDescent="0.2">
      <c r="A13" s="14" t="s">
        <v>52</v>
      </c>
      <c r="B13" s="76">
        <f>AVERAGE(8.13/(8.13+B$11*(1-0.265)*183),9.535/(9.535+B$11*(1-0.283)*198.7))</f>
        <v>0.29787253798337188</v>
      </c>
      <c r="C13" t="s">
        <v>89</v>
      </c>
      <c r="D13" t="s">
        <v>162</v>
      </c>
    </row>
    <row r="14" spans="1:4" x14ac:dyDescent="0.2">
      <c r="A14" s="14"/>
    </row>
    <row r="15" spans="1:4" x14ac:dyDescent="0.2">
      <c r="A15" t="s">
        <v>167</v>
      </c>
      <c r="B15" s="76">
        <f>1-(48.7+54.4+34.2+9)/385.2</f>
        <v>0.62019730010384211</v>
      </c>
      <c r="C15" t="s">
        <v>89</v>
      </c>
      <c r="D15" t="s">
        <v>166</v>
      </c>
    </row>
    <row r="16" spans="1:4" x14ac:dyDescent="0.2">
      <c r="A16" t="s">
        <v>199</v>
      </c>
    </row>
    <row r="17" spans="1:8" x14ac:dyDescent="0.2">
      <c r="A17" s="14" t="s">
        <v>52</v>
      </c>
      <c r="B17" s="42">
        <f>AVERAGE(8.13,9.535)</f>
        <v>8.8324999999999996</v>
      </c>
      <c r="C17" t="s">
        <v>111</v>
      </c>
      <c r="D17" t="s">
        <v>200</v>
      </c>
    </row>
    <row r="18" spans="1:8" x14ac:dyDescent="0.2">
      <c r="A18" s="14"/>
    </row>
    <row r="19" spans="1:8" x14ac:dyDescent="0.2">
      <c r="A19" s="77" t="s">
        <v>208</v>
      </c>
    </row>
    <row r="20" spans="1:8" x14ac:dyDescent="0.2">
      <c r="A20" s="14" t="s">
        <v>52</v>
      </c>
      <c r="B20" s="12">
        <f>B13*B$11/(1-B13)</f>
        <v>6.3636423747299067E-2</v>
      </c>
    </row>
    <row r="21" spans="1:8" x14ac:dyDescent="0.2">
      <c r="A21" s="77" t="s">
        <v>376</v>
      </c>
    </row>
    <row r="22" spans="1:8" x14ac:dyDescent="0.2">
      <c r="A22" s="14" t="s">
        <v>52</v>
      </c>
      <c r="B22" s="1">
        <v>9</v>
      </c>
    </row>
    <row r="23" spans="1:8" x14ac:dyDescent="0.2">
      <c r="A23" s="14"/>
    </row>
    <row r="24" spans="1:8" x14ac:dyDescent="0.2">
      <c r="A24" s="15" t="s">
        <v>186</v>
      </c>
    </row>
    <row r="25" spans="1:8" x14ac:dyDescent="0.2">
      <c r="A25" s="17"/>
      <c r="B25" s="177" t="s">
        <v>68</v>
      </c>
      <c r="C25" s="177"/>
      <c r="D25" s="177"/>
      <c r="E25" s="177" t="s">
        <v>72</v>
      </c>
      <c r="F25" s="177"/>
      <c r="G25" s="177" t="s">
        <v>84</v>
      </c>
      <c r="H25" s="177"/>
    </row>
    <row r="26" spans="1:8" x14ac:dyDescent="0.2">
      <c r="B26" s="5" t="s">
        <v>69</v>
      </c>
      <c r="C26" s="6" t="s">
        <v>70</v>
      </c>
      <c r="D26" s="6" t="s">
        <v>71</v>
      </c>
      <c r="E26" s="6" t="s">
        <v>2</v>
      </c>
      <c r="F26" s="41" t="s">
        <v>41</v>
      </c>
      <c r="G26" s="41" t="s">
        <v>2</v>
      </c>
      <c r="H26" s="41" t="s">
        <v>41</v>
      </c>
    </row>
    <row r="27" spans="1:8" x14ac:dyDescent="0.2">
      <c r="A27" t="s">
        <v>73</v>
      </c>
    </row>
    <row r="28" spans="1:8" x14ac:dyDescent="0.2">
      <c r="A28" s="14" t="s">
        <v>74</v>
      </c>
      <c r="B28" s="1">
        <f>521.3+290.9+167.7</f>
        <v>979.89999999999986</v>
      </c>
      <c r="C28" s="42">
        <f>140.9*B28/($B$30+$B$32+$B$34)</f>
        <v>40.08591295764014</v>
      </c>
      <c r="D28" s="39">
        <f>B28-C28</f>
        <v>939.81408704235969</v>
      </c>
      <c r="E28" s="1">
        <v>0.43</v>
      </c>
      <c r="F28" t="s">
        <v>81</v>
      </c>
      <c r="G28" s="1">
        <v>0.9</v>
      </c>
      <c r="H28" t="s">
        <v>82</v>
      </c>
    </row>
    <row r="29" spans="1:8" x14ac:dyDescent="0.2">
      <c r="A29" s="14" t="s">
        <v>52</v>
      </c>
      <c r="B29" s="1">
        <v>829.5</v>
      </c>
      <c r="C29" s="42">
        <v>109.9</v>
      </c>
      <c r="D29" s="39">
        <f t="shared" ref="D29:D34" si="0">B29-C29</f>
        <v>719.6</v>
      </c>
      <c r="E29" s="1">
        <v>0.745</v>
      </c>
      <c r="F29" t="s">
        <v>90</v>
      </c>
      <c r="G29" s="44">
        <f>26.281974/49.38569</f>
        <v>0.53217792441494705</v>
      </c>
      <c r="H29" t="s">
        <v>85</v>
      </c>
    </row>
    <row r="30" spans="1:8" x14ac:dyDescent="0.2">
      <c r="A30" s="14" t="s">
        <v>75</v>
      </c>
      <c r="B30" s="42">
        <f>(50.2+75.1)*(1-2241/19448)</f>
        <v>110.86163615795968</v>
      </c>
      <c r="C30" s="42">
        <f>140.9*B30/($B$30+$B$32+$B$34)</f>
        <v>4.5351463387790014</v>
      </c>
      <c r="D30" s="39">
        <f t="shared" si="0"/>
        <v>106.32648981918068</v>
      </c>
      <c r="E30" s="1">
        <v>1</v>
      </c>
      <c r="F30" t="s">
        <v>82</v>
      </c>
      <c r="G30" s="1">
        <v>1</v>
      </c>
      <c r="H30" t="s">
        <v>82</v>
      </c>
    </row>
    <row r="31" spans="1:8" x14ac:dyDescent="0.2">
      <c r="A31" s="14" t="s">
        <v>76</v>
      </c>
      <c r="B31" s="42">
        <f>(3931.3-223.7)-B28-B29-B30-B32-B33</f>
        <v>1384.3000000000006</v>
      </c>
      <c r="C31" s="42">
        <f>348.4-C28-C29-C30-C32-C33</f>
        <v>146.78829370263915</v>
      </c>
      <c r="D31" s="39">
        <f t="shared" si="0"/>
        <v>1237.5117062973616</v>
      </c>
      <c r="E31" s="1">
        <v>1</v>
      </c>
      <c r="F31" t="s">
        <v>82</v>
      </c>
      <c r="G31" s="1">
        <v>1</v>
      </c>
      <c r="H31" t="s">
        <v>82</v>
      </c>
    </row>
    <row r="32" spans="1:8" x14ac:dyDescent="0.2">
      <c r="A32" s="14" t="s">
        <v>77</v>
      </c>
      <c r="B32" s="42">
        <f>(50.2+75.1)*2241/19448</f>
        <v>14.438363842040312</v>
      </c>
      <c r="C32" s="42">
        <f>140.9*B32/($B$30+$B$32+$B$34)</f>
        <v>0.59064700094169487</v>
      </c>
      <c r="D32" s="39">
        <f t="shared" si="0"/>
        <v>13.847716841098617</v>
      </c>
      <c r="E32" s="1">
        <v>0</v>
      </c>
      <c r="G32" s="1">
        <v>1</v>
      </c>
      <c r="H32" t="s">
        <v>82</v>
      </c>
    </row>
    <row r="33" spans="1:5" x14ac:dyDescent="0.2">
      <c r="A33" s="5" t="s">
        <v>78</v>
      </c>
      <c r="B33" s="43">
        <v>388.6</v>
      </c>
      <c r="C33" s="43">
        <v>46.5</v>
      </c>
      <c r="D33" s="40">
        <f t="shared" si="0"/>
        <v>342.1</v>
      </c>
      <c r="E33" s="43">
        <v>0</v>
      </c>
    </row>
    <row r="34" spans="1:5" x14ac:dyDescent="0.2">
      <c r="A34" t="s">
        <v>80</v>
      </c>
      <c r="B34">
        <f>SUM(B28:B32)</f>
        <v>3319.0000000000009</v>
      </c>
      <c r="C34">
        <f>SUM(C28:C32)</f>
        <v>301.90000000000003</v>
      </c>
      <c r="D34" s="39">
        <f t="shared" si="0"/>
        <v>3017.1000000000008</v>
      </c>
    </row>
    <row r="35" spans="1:5" x14ac:dyDescent="0.2">
      <c r="A35" s="14" t="s">
        <v>79</v>
      </c>
      <c r="B35" s="3">
        <f>SUMPRODUCT(B$28:B$32,$E$28:$E$32)/B34</f>
        <v>0.76363246042722499</v>
      </c>
      <c r="C35" s="3">
        <f>SUMPRODUCT(C$28:C$32,$E$28:$E$32)/C34</f>
        <v>0.82953256910633788</v>
      </c>
      <c r="D35" s="3">
        <f>SUMPRODUCT(D$28:D$32,$E$28:$E$32)/D34</f>
        <v>0.75703829954086921</v>
      </c>
    </row>
    <row r="36" spans="1:5" x14ac:dyDescent="0.2">
      <c r="A36" s="14" t="s">
        <v>83</v>
      </c>
      <c r="B36" s="3">
        <f>(B28*$E28+B30*$E30)/(B28+B30)</f>
        <v>0.48793303551875739</v>
      </c>
      <c r="C36" s="3">
        <f>(C28*$E28+C30*$E30)/(C28+C30)</f>
        <v>0.48793303551875739</v>
      </c>
      <c r="D36" s="3">
        <f>(D28*$E28+D30*$E30)/(D28+D30)</f>
        <v>0.48793303551875733</v>
      </c>
    </row>
    <row r="37" spans="1:5" x14ac:dyDescent="0.2">
      <c r="A37" t="s">
        <v>86</v>
      </c>
    </row>
    <row r="38" spans="1:5" x14ac:dyDescent="0.2">
      <c r="A38" s="14" t="s">
        <v>87</v>
      </c>
      <c r="C38" s="38">
        <f>SUMPRODUCT(C$28:C$32,$G$28:$G$32)/C$34</f>
        <v>0.81642187014719658</v>
      </c>
    </row>
    <row r="39" spans="1:5" x14ac:dyDescent="0.2">
      <c r="A39" s="14" t="s">
        <v>53</v>
      </c>
      <c r="C39" s="38">
        <f>(C28*$G28+C30*$G30)/(C28+C30)</f>
        <v>0.91016369044188727</v>
      </c>
    </row>
    <row r="41" spans="1:5" x14ac:dyDescent="0.2">
      <c r="A41" t="s">
        <v>128</v>
      </c>
      <c r="C41" s="12">
        <f>(1-$B$8)*C33/(C33+C34)</f>
        <v>9.6192633506066313E-2</v>
      </c>
    </row>
    <row r="42" spans="1:5" x14ac:dyDescent="0.2">
      <c r="A42" t="s">
        <v>225</v>
      </c>
      <c r="C42" s="12">
        <f>C33/(C33+C34)</f>
        <v>0.13346727898966704</v>
      </c>
      <c r="D42" s="12">
        <f>D33/(D33+D34)</f>
        <v>0.1018397237437485</v>
      </c>
    </row>
    <row r="44" spans="1:5" x14ac:dyDescent="0.2">
      <c r="A44" t="s">
        <v>229</v>
      </c>
      <c r="C44" s="1">
        <f>968/12100</f>
        <v>0.08</v>
      </c>
      <c r="D44" s="136" t="s">
        <v>230</v>
      </c>
    </row>
    <row r="47" spans="1:5" x14ac:dyDescent="0.2">
      <c r="A47" t="s">
        <v>232</v>
      </c>
    </row>
    <row r="48" spans="1:5" x14ac:dyDescent="0.2">
      <c r="A48" t="s">
        <v>206</v>
      </c>
      <c r="B48">
        <v>92</v>
      </c>
    </row>
    <row r="49" spans="1:4" x14ac:dyDescent="0.2">
      <c r="A49" t="s">
        <v>202</v>
      </c>
      <c r="B49">
        <f>145-B48</f>
        <v>53</v>
      </c>
    </row>
    <row r="50" spans="1:4" x14ac:dyDescent="0.2">
      <c r="A50" s="173" t="s">
        <v>233</v>
      </c>
    </row>
    <row r="51" spans="1:4" x14ac:dyDescent="0.2">
      <c r="A51" s="173"/>
    </row>
    <row r="52" spans="1:4" x14ac:dyDescent="0.2">
      <c r="A52" s="173"/>
      <c r="B52" s="76">
        <f>AVERAGE(1/4,5/12)</f>
        <v>0.33333333333333337</v>
      </c>
    </row>
    <row r="53" spans="1:4" x14ac:dyDescent="0.2">
      <c r="A53" t="s">
        <v>366</v>
      </c>
      <c r="B53" s="1">
        <v>46</v>
      </c>
      <c r="D53" t="s">
        <v>367</v>
      </c>
    </row>
  </sheetData>
  <mergeCells count="4">
    <mergeCell ref="B25:D25"/>
    <mergeCell ref="E25:F25"/>
    <mergeCell ref="G25:H25"/>
    <mergeCell ref="A50:A52"/>
  </mergeCells>
  <dataValidations disablePrompts="1" count="9">
    <dataValidation type="decimal" allowBlank="1" showInputMessage="1" showErrorMessage="1" errorTitle="genericvolsherror" error="Must be between the 0 and 1." promptTitle="GenericVolsh" prompt="Generic share of scripts" sqref="B5" xr:uid="{B2D12178-3026-464F-BB5A-09DA04686F3F}">
      <formula1>0</formula1>
      <formula2>1</formula2>
    </dataValidation>
    <dataValidation type="decimal" allowBlank="1" showInputMessage="1" showErrorMessage="1" errorTitle="RebateshMedicareerror" error="Must be between the 0 and 1." promptTitle="RebateshMedicare" prompt="Rebates as a ratio to net Medicare Rx spend." sqref="B8" xr:uid="{372BB533-9738-1745-A2EA-60487E76E6E6}">
      <formula1>0</formula1>
      <formula2>1</formula2>
    </dataValidation>
    <dataValidation type="decimal" allowBlank="1" showInputMessage="1" showErrorMessage="1" errorTitle="Pharmacyreverror" error="Must be in [0,1]" promptTitle="Pharmacyrev" prompt="Pharmacy revenue (net of discounts) as a ratio of industry net drug cost." sqref="B11" xr:uid="{F28C204A-0085-2241-81C6-D71605A2D704}">
      <formula1>0</formula1>
      <formula2>1</formula2>
    </dataValidation>
    <dataValidation type="decimal" allowBlank="1" showInputMessage="1" showErrorMessage="1" errorTitle="PharmacydiscPartDerror" error="Must be in [0,1]" promptTitle="PharmacydiscPartD" prompt="Pharmacy discounts as a ratio to gross pharmacy revenue, Part D." sqref="B13" xr:uid="{97AC1974-6397-644E-8384-63DAD12CAAE5}">
      <formula1>0</formula1>
      <formula2>1</formula2>
    </dataValidation>
    <dataValidation type="decimal" allowBlank="1" showInputMessage="1" showErrorMessage="1" errorTitle="PharmacyshAllerror" error="Must be in [0,1]" promptTitle="Pharmacysh" prompt="Rx share of retail pharmacies (as distinct from mail-order)." sqref="B15" xr:uid="{C0567B3E-5915-5A49-90F1-4CAFBBED4B05}">
      <formula1>0</formula1>
      <formula2>1</formula2>
    </dataValidation>
    <dataValidation type="decimal" operator="greaterThan" allowBlank="1" showInputMessage="1" showErrorMessage="1" errorTitle="PharmacyDIRdollarsPartDerror" error="Must be a positive number." promptTitle="PharmacyDIRdollarsPartD" prompt="Annual pharmacy DIR in the Part D segment." sqref="B17" xr:uid="{2FDE02F8-6A73-DF41-929E-2F4EBAF3BE5F}">
      <formula1>0</formula1>
    </dataValidation>
    <dataValidation type="decimal" allowBlank="1" showInputMessage="1" showErrorMessage="1" errorTitle="GenericInsulinShError" error="Must be between the 0 and 1." promptTitle="GenericInsulinSh" prompt="Generic share of insulin scripts" sqref="B6" xr:uid="{4B77E5CE-D16C-3C44-8301-E706ACF1FE5A}">
      <formula1>0</formula1>
      <formula2>1</formula2>
    </dataValidation>
    <dataValidation type="decimal" allowBlank="1" showInputMessage="1" showErrorMessage="1" errorTitle="OOPperGDSInsulin" error="Must be between 0 and 1." promptTitle="OOPperGDSInsulin" prompt="Out of pocket spending per gross insulin spend" sqref="C44" xr:uid="{DE187F2F-2F6A-4A46-BB49-D9D99DC90183}">
      <formula1>0</formula1>
      <formula2>1</formula2>
    </dataValidation>
    <dataValidation type="decimal" allowBlank="1" showInputMessage="1" showErrorMessage="1" errorTitle="DWC error" promptTitle="DWC of PBM Monopoly" prompt="Must be a share between 0 and 0.5." sqref="B52" xr:uid="{8A8A06F6-AD2E-324B-A424-537CF70EDC39}">
      <formula1>0</formula1>
      <formula2>0.5</formula2>
    </dataValidation>
  </dataValidations>
  <hyperlinks>
    <hyperlink ref="D44" r:id="rId1" xr:uid="{A50E8E15-0F94-C944-B252-E3062D7DAD4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A77E4-C9C6-F74B-8665-C321129CFBB4}">
  <dimension ref="A1:D26"/>
  <sheetViews>
    <sheetView workbookViewId="0"/>
  </sheetViews>
  <sheetFormatPr baseColWidth="10" defaultRowHeight="16" x14ac:dyDescent="0.2"/>
  <cols>
    <col min="1" max="1" width="26.83203125" customWidth="1"/>
    <col min="3" max="3" width="24.6640625" customWidth="1"/>
  </cols>
  <sheetData>
    <row r="1" spans="1:4" x14ac:dyDescent="0.2">
      <c r="A1" s="17" t="s">
        <v>187</v>
      </c>
    </row>
    <row r="2" spans="1:4" x14ac:dyDescent="0.2">
      <c r="A2" s="15" t="s">
        <v>37</v>
      </c>
    </row>
    <row r="4" spans="1:4" x14ac:dyDescent="0.2">
      <c r="A4" s="5" t="s">
        <v>94</v>
      </c>
      <c r="B4" s="6" t="s">
        <v>2</v>
      </c>
      <c r="C4" s="5" t="s">
        <v>3</v>
      </c>
      <c r="D4" s="5" t="s">
        <v>41</v>
      </c>
    </row>
    <row r="5" spans="1:4" x14ac:dyDescent="0.2">
      <c r="A5" s="59" t="s">
        <v>105</v>
      </c>
      <c r="C5" s="48"/>
      <c r="D5" s="48"/>
    </row>
    <row r="6" spans="1:4" x14ac:dyDescent="0.2">
      <c r="A6" s="60" t="s">
        <v>88</v>
      </c>
      <c r="B6" s="44">
        <f>(1-AVERAGE(0.155,0.192)/2)^1.5</f>
        <v>0.87273927661881068</v>
      </c>
      <c r="C6" s="48" t="s">
        <v>89</v>
      </c>
      <c r="D6" s="48" t="s">
        <v>59</v>
      </c>
    </row>
    <row r="7" spans="1:4" ht="34" x14ac:dyDescent="0.2">
      <c r="A7" s="61" t="s">
        <v>93</v>
      </c>
      <c r="B7" s="46">
        <f>AVERAGE(0.02,0.1)</f>
        <v>6.0000000000000005E-2</v>
      </c>
      <c r="C7" s="48"/>
      <c r="D7" s="48" t="s">
        <v>101</v>
      </c>
    </row>
    <row r="8" spans="1:4" ht="34" x14ac:dyDescent="0.2">
      <c r="A8" s="61" t="s">
        <v>95</v>
      </c>
      <c r="B8" s="1">
        <f>129/80</f>
        <v>1.6125</v>
      </c>
      <c r="C8" s="48"/>
      <c r="D8" s="48" t="s">
        <v>96</v>
      </c>
    </row>
    <row r="9" spans="1:4" x14ac:dyDescent="0.2">
      <c r="A9" s="60" t="s">
        <v>100</v>
      </c>
      <c r="B9" s="46">
        <v>0.35</v>
      </c>
      <c r="C9" s="48" t="s">
        <v>98</v>
      </c>
      <c r="D9" s="48" t="s">
        <v>102</v>
      </c>
    </row>
    <row r="10" spans="1:4" x14ac:dyDescent="0.2">
      <c r="A10" s="60" t="s">
        <v>107</v>
      </c>
      <c r="B10" s="4">
        <v>0.52</v>
      </c>
      <c r="C10" s="48" t="s">
        <v>89</v>
      </c>
      <c r="D10" s="48" t="s">
        <v>106</v>
      </c>
    </row>
    <row r="11" spans="1:4" x14ac:dyDescent="0.2">
      <c r="A11" s="60" t="s">
        <v>109</v>
      </c>
      <c r="B11" s="1">
        <v>1270.1479999999999</v>
      </c>
      <c r="C11" s="48" t="s">
        <v>111</v>
      </c>
      <c r="D11" s="62" t="s">
        <v>108</v>
      </c>
    </row>
    <row r="12" spans="1:4" x14ac:dyDescent="0.2">
      <c r="A12" s="60" t="s">
        <v>110</v>
      </c>
      <c r="B12" s="1">
        <v>348.411</v>
      </c>
      <c r="C12" s="48" t="s">
        <v>111</v>
      </c>
      <c r="D12" s="62" t="s">
        <v>108</v>
      </c>
    </row>
    <row r="13" spans="1:4" x14ac:dyDescent="0.2">
      <c r="D13" s="19"/>
    </row>
    <row r="14" spans="1:4" x14ac:dyDescent="0.2">
      <c r="A14" s="63" t="s">
        <v>133</v>
      </c>
      <c r="C14" s="67"/>
      <c r="D14" s="68"/>
    </row>
    <row r="15" spans="1:4" ht="34" x14ac:dyDescent="0.2">
      <c r="A15" s="64" t="s">
        <v>134</v>
      </c>
      <c r="B15" s="56">
        <v>0.5</v>
      </c>
      <c r="C15" s="67" t="s">
        <v>98</v>
      </c>
      <c r="D15" s="68" t="s">
        <v>135</v>
      </c>
    </row>
    <row r="16" spans="1:4" x14ac:dyDescent="0.2">
      <c r="A16" s="33" t="s">
        <v>136</v>
      </c>
      <c r="C16" s="67"/>
      <c r="D16" s="68"/>
    </row>
    <row r="17" spans="1:4" ht="17" x14ac:dyDescent="0.2">
      <c r="A17" s="65" t="s">
        <v>138</v>
      </c>
      <c r="B17" s="42">
        <v>11.5</v>
      </c>
      <c r="C17" s="67" t="s">
        <v>140</v>
      </c>
      <c r="D17" s="68" t="s">
        <v>143</v>
      </c>
    </row>
    <row r="18" spans="1:4" ht="17" x14ac:dyDescent="0.2">
      <c r="A18" s="65" t="s">
        <v>137</v>
      </c>
      <c r="B18" s="58">
        <v>4</v>
      </c>
      <c r="C18" s="67" t="s">
        <v>141</v>
      </c>
      <c r="D18" s="68" t="s">
        <v>82</v>
      </c>
    </row>
    <row r="19" spans="1:4" x14ac:dyDescent="0.2">
      <c r="A19" s="66" t="s">
        <v>139</v>
      </c>
      <c r="B19" s="69">
        <f>B17-B18</f>
        <v>7.5</v>
      </c>
      <c r="C19" s="67"/>
      <c r="D19" s="68"/>
    </row>
    <row r="20" spans="1:4" x14ac:dyDescent="0.2">
      <c r="A20" s="70" t="s">
        <v>142</v>
      </c>
      <c r="B20" s="46">
        <v>0.06</v>
      </c>
      <c r="C20" s="67" t="s">
        <v>111</v>
      </c>
      <c r="D20" s="68" t="s">
        <v>82</v>
      </c>
    </row>
    <row r="21" spans="1:4" x14ac:dyDescent="0.2">
      <c r="A21" s="70" t="s">
        <v>148</v>
      </c>
      <c r="B21" s="67"/>
      <c r="C21" s="67"/>
      <c r="D21" s="68"/>
    </row>
    <row r="22" spans="1:4" x14ac:dyDescent="0.2">
      <c r="A22" s="66" t="s">
        <v>137</v>
      </c>
      <c r="B22" s="75">
        <f>1-EXP(-B$20*B$18)</f>
        <v>0.21337213893344653</v>
      </c>
      <c r="C22" s="67"/>
      <c r="D22" s="68"/>
    </row>
    <row r="23" spans="1:4" x14ac:dyDescent="0.2">
      <c r="A23" s="66" t="s">
        <v>139</v>
      </c>
      <c r="B23" s="75">
        <f>1-B22-B24</f>
        <v>0.28505179200049791</v>
      </c>
      <c r="C23" s="67"/>
      <c r="D23" s="68"/>
    </row>
    <row r="24" spans="1:4" x14ac:dyDescent="0.2">
      <c r="A24" s="66" t="s">
        <v>149</v>
      </c>
      <c r="B24" s="75">
        <f>EXP(-B$20*B$17)</f>
        <v>0.50157606906605556</v>
      </c>
    </row>
    <row r="25" spans="1:4" x14ac:dyDescent="0.2">
      <c r="A25" s="70" t="s">
        <v>150</v>
      </c>
      <c r="B25" s="75">
        <v>0.13231299999999999</v>
      </c>
      <c r="D25" s="68" t="s">
        <v>151</v>
      </c>
    </row>
    <row r="26" spans="1:4" x14ac:dyDescent="0.2">
      <c r="A26" s="70" t="s">
        <v>153</v>
      </c>
      <c r="B26" s="76">
        <v>0.41390977443609001</v>
      </c>
      <c r="D26" s="68" t="s">
        <v>154</v>
      </c>
    </row>
  </sheetData>
  <dataValidations count="9">
    <dataValidation type="decimal" operator="greaterThan" allowBlank="1" showInputMessage="1" showErrorMessage="1" errorTitle="rerror" error="Discount rates must be positive." promptTitle="Discountrate" prompt="Revenue discount rate in % per year." sqref="B20" xr:uid="{C58F5520-102F-BB48-8CAE-856E79CAAAC8}">
      <formula1>0</formula1>
    </dataValidation>
    <dataValidation type="decimal" allowBlank="1" showInputMessage="1" showErrorMessage="1" errorTitle="monopolyerror" error="Must be between 0 and the effective patent life." promptTitle="monopoly" prompt="The duration of time after FDA approval that a new drug has no competitors, even from alternative therapies." sqref="B18" xr:uid="{8E698237-629F-574D-A5AD-2D1B72F7D985}">
      <formula1>0</formula1>
      <formula2>B17</formula2>
    </dataValidation>
    <dataValidation type="decimal" allowBlank="1" showInputMessage="1" showErrorMessage="1" errorTitle="patenterror" error="Effective patent life is between 0 and the statutory limit (20)." promptTitle="patentlife" prompt="Effective patent life in years, excluding patent years used for FDA approval." sqref="B17" xr:uid="{95CACAE0-4195-494F-8C99-AE19332A6126}">
      <formula1>0</formula1>
      <formula2>20</formula2>
    </dataValidation>
    <dataValidation type="decimal" operator="greaterThanOrEqual" allowBlank="1" showInputMessage="1" showErrorMessage="1" errorTitle="mdwcerror" error="Cannot assume negative marginal deadweight costs." promptTitle="mdwc" prompt="The deadweight cost of the marginal dollar of government spending." sqref="B15" xr:uid="{72D4B846-F5D5-924B-BCC8-DFDE4E6B9B2B}">
      <formula1>0</formula1>
    </dataValidation>
    <dataValidation type="decimal" operator="greaterThan" allowBlank="1" showInputMessage="1" showErrorMessage="1" errorTitle="Rxspenderror" error="Rx spending is a positive number" promptTitle="Rxspend" prompt="Net Rx spending in $ billion" sqref="B12" xr:uid="{1750F8DA-7696-C145-B6C4-3A16C0AA2958}">
      <formula1>0</formula1>
    </dataValidation>
    <dataValidation type="decimal" operator="greaterThan" allowBlank="1" showInputMessage="1" showErrorMessage="1" errorTitle="hospitalspenderror" error="Hospital spending is a positive number." promptTitle="Hospitalspend" prompt="Hospital spending in $ billion" sqref="B11" xr:uid="{095ADFC9-56EB-2845-8535-55FEA150BC3F}">
      <formula1>0</formula1>
    </dataValidation>
    <dataValidation type="decimal" allowBlank="1" showInputMessage="1" showErrorMessage="1" errorTitle="inpatientsherror" error="Must be between the 0 and 1." promptTitle="Inpartientsh" prompt="Share of hospital revenue that is inpatient" sqref="B10" xr:uid="{3E728DBF-30E6-C444-A865-BDA8CEE45C7B}">
      <formula1>0</formula1>
      <formula2>1</formula2>
    </dataValidation>
    <dataValidation type="decimal" operator="greaterThanOrEqual" allowBlank="1" showInputMessage="1" showErrorMessage="1" errorTitle="PartDimpacterror" error="The introduction of Part D must have increased Rx utilization by a nonnegative number." promptTitle="PartDqimpact" prompt="Impact of Medicare Part D on Rx utilization." sqref="B9" xr:uid="{7936BB0B-C07A-0949-9497-85979962F934}">
      <formula1>0</formula1>
    </dataValidation>
    <dataValidation type="decimal" allowBlank="1" showInputMessage="1" showErrorMessage="1" errorTitle="retentionerror" error="Must be between the 0 and 1." promptTitle="PlanRetention" prompt="Share of health plan members who are still members the next year." sqref="B6" xr:uid="{3411689F-9E1D-4C44-AE74-641DF232FF0C}">
      <formula1>0</formula1>
      <formula2>1</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22047-EF37-C645-89D4-34270C3A36B3}">
  <dimension ref="A1:N763"/>
  <sheetViews>
    <sheetView workbookViewId="0">
      <pane ySplit="5" topLeftCell="A6" activePane="bottomLeft" state="frozen"/>
      <selection pane="bottomLeft"/>
    </sheetView>
  </sheetViews>
  <sheetFormatPr baseColWidth="10" defaultColWidth="8.83203125" defaultRowHeight="14" x14ac:dyDescent="0.15"/>
  <cols>
    <col min="1" max="2" width="8.83203125" style="140"/>
    <col min="3" max="3" width="50.83203125" style="140" customWidth="1"/>
    <col min="4" max="4" width="9.83203125" style="140" customWidth="1"/>
    <col min="5" max="5" width="8.83203125" style="140"/>
    <col min="6" max="6" width="10.83203125" style="140" customWidth="1"/>
    <col min="7" max="7" width="50.83203125" style="140" customWidth="1"/>
    <col min="8" max="9" width="20.83203125" style="140" customWidth="1"/>
    <col min="10" max="16384" width="8.83203125" style="140"/>
  </cols>
  <sheetData>
    <row r="1" spans="1:14" ht="16" x14ac:dyDescent="0.2">
      <c r="A1" s="141" t="s">
        <v>343</v>
      </c>
    </row>
    <row r="2" spans="1:14" ht="16" x14ac:dyDescent="0.2">
      <c r="A2" s="141" t="s">
        <v>597</v>
      </c>
    </row>
    <row r="3" spans="1:14" ht="16" x14ac:dyDescent="0.2">
      <c r="A3" s="157"/>
    </row>
    <row r="5" spans="1:14" ht="17" x14ac:dyDescent="0.2">
      <c r="A5" s="137" t="s">
        <v>236</v>
      </c>
      <c r="B5" s="138" t="s">
        <v>237</v>
      </c>
      <c r="C5" s="137" t="s">
        <v>238</v>
      </c>
      <c r="D5" s="137" t="s">
        <v>239</v>
      </c>
      <c r="E5" s="137" t="s">
        <v>240</v>
      </c>
      <c r="F5" s="139" t="s">
        <v>241</v>
      </c>
      <c r="G5" s="137" t="s">
        <v>242</v>
      </c>
      <c r="H5" s="137" t="s">
        <v>243</v>
      </c>
      <c r="I5" s="137" t="s">
        <v>41</v>
      </c>
    </row>
    <row r="6" spans="1:14" ht="16" x14ac:dyDescent="0.2">
      <c r="A6" s="141" t="s">
        <v>245</v>
      </c>
      <c r="B6" s="141">
        <v>1</v>
      </c>
      <c r="C6" s="141" t="s">
        <v>379</v>
      </c>
      <c r="D6" s="141" t="s">
        <v>274</v>
      </c>
      <c r="E6" s="141">
        <v>3</v>
      </c>
      <c r="F6" s="147">
        <f>0.75*Tables12!$O$13</f>
        <v>3.0210166351563039</v>
      </c>
      <c r="G6" s="141" t="s">
        <v>380</v>
      </c>
      <c r="H6" s="141"/>
      <c r="I6" s="141"/>
      <c r="J6" s="141"/>
      <c r="K6" s="141"/>
      <c r="L6" s="141"/>
      <c r="M6" s="141"/>
      <c r="N6" s="141"/>
    </row>
    <row r="7" spans="1:14" ht="16" x14ac:dyDescent="0.2">
      <c r="A7" s="141" t="s">
        <v>245</v>
      </c>
      <c r="B7" s="141">
        <v>2</v>
      </c>
      <c r="C7" s="141" t="s">
        <v>381</v>
      </c>
      <c r="D7" s="141" t="s">
        <v>269</v>
      </c>
      <c r="E7" s="141">
        <v>10</v>
      </c>
      <c r="F7" s="147">
        <f>0.75*Tables12!$S$13</f>
        <v>9.5729248670135547</v>
      </c>
      <c r="G7" s="141" t="s">
        <v>382</v>
      </c>
      <c r="H7" s="141"/>
      <c r="I7" s="141"/>
      <c r="J7" s="141"/>
      <c r="K7" s="141"/>
      <c r="L7" s="141"/>
      <c r="M7" s="141"/>
      <c r="N7" s="141"/>
    </row>
    <row r="8" spans="1:14" ht="16" x14ac:dyDescent="0.2">
      <c r="A8" s="141" t="s">
        <v>245</v>
      </c>
      <c r="B8" s="141">
        <v>3</v>
      </c>
      <c r="C8" s="141" t="s">
        <v>383</v>
      </c>
      <c r="D8" s="142" t="s">
        <v>268</v>
      </c>
      <c r="E8" s="141">
        <v>3</v>
      </c>
      <c r="F8" s="154"/>
      <c r="G8" s="141" t="s">
        <v>384</v>
      </c>
      <c r="H8" s="141"/>
      <c r="I8" s="141"/>
      <c r="J8" s="141"/>
      <c r="K8" s="141"/>
      <c r="L8" s="141"/>
      <c r="M8" s="141"/>
      <c r="N8" s="141"/>
    </row>
    <row r="9" spans="1:14" ht="16" x14ac:dyDescent="0.2">
      <c r="A9" s="141" t="s">
        <v>245</v>
      </c>
      <c r="B9" s="141">
        <v>5</v>
      </c>
      <c r="C9" s="141" t="s">
        <v>385</v>
      </c>
      <c r="D9" s="142" t="s">
        <v>254</v>
      </c>
      <c r="E9" s="141">
        <v>1</v>
      </c>
      <c r="F9" s="144"/>
      <c r="G9" s="141" t="s">
        <v>386</v>
      </c>
      <c r="H9" s="142"/>
      <c r="I9" s="141"/>
      <c r="J9" s="141"/>
      <c r="K9" s="141"/>
      <c r="L9" s="141"/>
      <c r="M9" s="141"/>
      <c r="N9" s="141"/>
    </row>
    <row r="10" spans="1:14" ht="16" x14ac:dyDescent="0.2">
      <c r="A10" s="141" t="s">
        <v>255</v>
      </c>
      <c r="B10" s="141">
        <v>11</v>
      </c>
      <c r="C10" s="141"/>
      <c r="D10" s="141" t="s">
        <v>249</v>
      </c>
      <c r="E10" s="141"/>
      <c r="F10" s="141"/>
      <c r="G10" s="141" t="s">
        <v>388</v>
      </c>
      <c r="H10" s="141"/>
      <c r="I10" s="142"/>
      <c r="J10" s="141"/>
      <c r="K10" s="141"/>
      <c r="L10" s="141"/>
      <c r="M10" s="141"/>
      <c r="N10" s="141"/>
    </row>
    <row r="11" spans="1:14" ht="16" x14ac:dyDescent="0.2">
      <c r="A11" s="141" t="s">
        <v>245</v>
      </c>
      <c r="B11" s="141">
        <v>14</v>
      </c>
      <c r="C11" s="141" t="s">
        <v>389</v>
      </c>
      <c r="D11" s="141" t="s">
        <v>296</v>
      </c>
      <c r="E11" s="141">
        <v>2019</v>
      </c>
      <c r="F11" s="141"/>
      <c r="G11" s="141" t="s">
        <v>390</v>
      </c>
      <c r="H11" s="141"/>
      <c r="I11" s="141"/>
      <c r="J11" s="141"/>
      <c r="K11" s="141"/>
      <c r="L11" s="141"/>
      <c r="M11" s="141"/>
      <c r="N11" s="141"/>
    </row>
    <row r="12" spans="1:14" ht="16" x14ac:dyDescent="0.2">
      <c r="A12" s="141" t="s">
        <v>245</v>
      </c>
      <c r="B12" s="141">
        <v>16</v>
      </c>
      <c r="C12" s="141" t="s">
        <v>391</v>
      </c>
      <c r="D12" s="141" t="s">
        <v>309</v>
      </c>
      <c r="E12" s="141">
        <v>2023</v>
      </c>
      <c r="F12" s="141"/>
      <c r="G12" s="141" t="s">
        <v>392</v>
      </c>
      <c r="H12" s="141"/>
      <c r="I12" s="141"/>
      <c r="J12" s="141"/>
      <c r="K12" s="141"/>
      <c r="L12" s="141"/>
      <c r="M12" s="141"/>
      <c r="N12" s="141"/>
    </row>
    <row r="13" spans="1:14" ht="16" x14ac:dyDescent="0.2">
      <c r="A13" s="141" t="s">
        <v>310</v>
      </c>
      <c r="B13" s="141">
        <v>17</v>
      </c>
      <c r="C13" s="141" t="s">
        <v>393</v>
      </c>
      <c r="D13" s="141" t="s">
        <v>248</v>
      </c>
      <c r="E13" s="141">
        <v>2</v>
      </c>
      <c r="F13" s="141"/>
      <c r="G13" s="141" t="s">
        <v>394</v>
      </c>
      <c r="H13" s="141"/>
      <c r="I13" s="141"/>
      <c r="J13" s="141"/>
      <c r="K13" s="141"/>
      <c r="L13" s="141"/>
      <c r="M13" s="141"/>
      <c r="N13" s="141"/>
    </row>
    <row r="14" spans="1:14" ht="16" x14ac:dyDescent="0.2">
      <c r="A14" s="141" t="s">
        <v>310</v>
      </c>
      <c r="B14" s="141">
        <v>18</v>
      </c>
      <c r="C14" s="141" t="s">
        <v>395</v>
      </c>
      <c r="D14" s="141" t="s">
        <v>276</v>
      </c>
      <c r="E14" s="141">
        <v>2</v>
      </c>
      <c r="F14" s="141"/>
      <c r="G14" s="141"/>
      <c r="H14" s="141"/>
      <c r="I14" s="141"/>
      <c r="J14" s="141"/>
      <c r="K14" s="141"/>
      <c r="L14" s="141"/>
      <c r="M14" s="141"/>
      <c r="N14" s="141"/>
    </row>
    <row r="15" spans="1:14" ht="16" x14ac:dyDescent="0.2">
      <c r="A15" s="141" t="s">
        <v>245</v>
      </c>
      <c r="B15" s="141">
        <v>19</v>
      </c>
      <c r="C15" s="141" t="s">
        <v>396</v>
      </c>
      <c r="D15" s="141" t="s">
        <v>250</v>
      </c>
      <c r="E15" s="141">
        <v>2</v>
      </c>
      <c r="F15" s="141"/>
      <c r="G15" s="141" t="s">
        <v>397</v>
      </c>
      <c r="H15" s="141"/>
      <c r="I15" s="141"/>
      <c r="J15" s="141"/>
      <c r="K15" s="141"/>
      <c r="L15" s="141"/>
      <c r="M15" s="141"/>
      <c r="N15" s="141"/>
    </row>
    <row r="16" spans="1:14" ht="16" x14ac:dyDescent="0.2">
      <c r="A16" s="141" t="s">
        <v>245</v>
      </c>
      <c r="B16" s="141">
        <v>22</v>
      </c>
      <c r="C16" s="141" t="s">
        <v>398</v>
      </c>
      <c r="D16" s="141" t="s">
        <v>313</v>
      </c>
      <c r="E16" s="141">
        <v>8</v>
      </c>
      <c r="F16" s="141"/>
      <c r="G16" s="141" t="s">
        <v>267</v>
      </c>
      <c r="H16" s="141"/>
      <c r="J16" s="141"/>
      <c r="K16" s="141"/>
      <c r="L16" s="141"/>
      <c r="M16" s="141"/>
      <c r="N16" s="141"/>
    </row>
    <row r="17" spans="1:14" ht="16" x14ac:dyDescent="0.2">
      <c r="A17" s="141" t="s">
        <v>245</v>
      </c>
      <c r="B17" s="141">
        <v>23</v>
      </c>
      <c r="C17" s="141" t="s">
        <v>399</v>
      </c>
      <c r="D17" s="141" t="s">
        <v>299</v>
      </c>
      <c r="E17" s="141">
        <v>9</v>
      </c>
      <c r="F17" s="141"/>
      <c r="G17" s="141" t="s">
        <v>400</v>
      </c>
      <c r="H17" s="141"/>
      <c r="I17" s="142" t="s">
        <v>592</v>
      </c>
      <c r="J17" s="141"/>
      <c r="K17" s="141"/>
      <c r="L17" s="141"/>
      <c r="M17" s="141"/>
      <c r="N17" s="141"/>
    </row>
    <row r="18" spans="1:14" ht="16" x14ac:dyDescent="0.2">
      <c r="A18" s="141" t="s">
        <v>245</v>
      </c>
      <c r="B18" s="141">
        <v>25</v>
      </c>
      <c r="C18" s="141" t="s">
        <v>401</v>
      </c>
      <c r="D18" s="141" t="s">
        <v>402</v>
      </c>
      <c r="E18" s="141">
        <v>44</v>
      </c>
      <c r="F18" s="141"/>
      <c r="G18" s="141" t="s">
        <v>294</v>
      </c>
      <c r="H18" s="141"/>
      <c r="I18" s="141" t="s">
        <v>593</v>
      </c>
      <c r="J18" s="141"/>
      <c r="K18" s="141"/>
      <c r="L18" s="141"/>
      <c r="M18" s="141"/>
      <c r="N18" s="141"/>
    </row>
    <row r="19" spans="1:14" ht="16" x14ac:dyDescent="0.2">
      <c r="A19" s="141" t="s">
        <v>245</v>
      </c>
      <c r="B19" s="141">
        <v>26</v>
      </c>
      <c r="C19" s="141" t="s">
        <v>403</v>
      </c>
      <c r="D19" s="141" t="s">
        <v>313</v>
      </c>
      <c r="E19" s="141">
        <v>8</v>
      </c>
      <c r="F19" s="143">
        <f>1/(1+E17/100)-1</f>
        <v>-8.2568807339449601E-2</v>
      </c>
      <c r="G19" s="141" t="s">
        <v>404</v>
      </c>
      <c r="H19" s="141" t="s">
        <v>594</v>
      </c>
      <c r="I19" s="141"/>
      <c r="J19" s="141"/>
      <c r="K19" s="141"/>
      <c r="L19" s="141"/>
      <c r="M19" s="141"/>
      <c r="N19" s="141"/>
    </row>
    <row r="20" spans="1:14" ht="16" x14ac:dyDescent="0.2">
      <c r="A20" s="141" t="s">
        <v>245</v>
      </c>
      <c r="B20" s="141">
        <v>27</v>
      </c>
      <c r="C20" s="141" t="s">
        <v>405</v>
      </c>
      <c r="D20" s="141" t="s">
        <v>246</v>
      </c>
      <c r="E20" s="141">
        <v>31</v>
      </c>
      <c r="F20" s="143">
        <f>1/(1+E18/100)-1</f>
        <v>-0.30555555555555558</v>
      </c>
      <c r="G20" s="141" t="s">
        <v>247</v>
      </c>
      <c r="H20" s="141"/>
      <c r="I20" s="141"/>
      <c r="J20" s="141"/>
      <c r="K20" s="141"/>
      <c r="L20" s="141"/>
      <c r="M20" s="141"/>
      <c r="N20" s="141"/>
    </row>
    <row r="21" spans="1:14" ht="16" x14ac:dyDescent="0.2">
      <c r="A21" s="141" t="s">
        <v>245</v>
      </c>
      <c r="B21" s="141">
        <v>28</v>
      </c>
      <c r="C21" s="141" t="s">
        <v>406</v>
      </c>
      <c r="D21" s="141" t="s">
        <v>252</v>
      </c>
      <c r="E21" s="141">
        <v>0</v>
      </c>
      <c r="F21" s="141"/>
      <c r="G21" s="141" t="s">
        <v>407</v>
      </c>
      <c r="H21" s="141"/>
      <c r="I21" s="141"/>
      <c r="J21" s="141"/>
      <c r="K21" s="141"/>
      <c r="L21" s="141"/>
      <c r="M21" s="141"/>
      <c r="N21" s="141"/>
    </row>
    <row r="22" spans="1:14" ht="16" x14ac:dyDescent="0.2">
      <c r="A22" s="141" t="s">
        <v>245</v>
      </c>
      <c r="B22" s="141">
        <v>29</v>
      </c>
      <c r="C22" s="141" t="s">
        <v>408</v>
      </c>
      <c r="D22" s="141" t="s">
        <v>409</v>
      </c>
      <c r="E22" s="141">
        <v>69</v>
      </c>
      <c r="F22" s="149">
        <f>1+F20</f>
        <v>0.69444444444444442</v>
      </c>
      <c r="G22" s="141" t="s">
        <v>410</v>
      </c>
      <c r="H22" s="141"/>
      <c r="I22" s="141"/>
      <c r="J22" s="141"/>
      <c r="K22" s="141"/>
      <c r="L22" s="141"/>
      <c r="M22" s="141"/>
      <c r="N22" s="141"/>
    </row>
    <row r="23" spans="1:14" ht="16" x14ac:dyDescent="0.2">
      <c r="A23" s="141" t="s">
        <v>245</v>
      </c>
      <c r="B23" s="141">
        <v>30</v>
      </c>
      <c r="C23" s="141" t="s">
        <v>411</v>
      </c>
      <c r="D23" s="141" t="s">
        <v>308</v>
      </c>
      <c r="E23" s="141">
        <v>92</v>
      </c>
      <c r="F23" s="149">
        <f>1+F19</f>
        <v>0.9174311926605504</v>
      </c>
      <c r="G23" s="141" t="s">
        <v>412</v>
      </c>
      <c r="H23" s="141"/>
      <c r="I23" s="141"/>
      <c r="J23" s="141"/>
      <c r="K23" s="141"/>
      <c r="L23" s="141"/>
      <c r="M23" s="141"/>
      <c r="N23" s="141"/>
    </row>
    <row r="24" spans="1:14" ht="16" x14ac:dyDescent="0.2">
      <c r="A24" s="141" t="s">
        <v>245</v>
      </c>
      <c r="B24" s="141">
        <v>31</v>
      </c>
      <c r="C24" s="141" t="s">
        <v>413</v>
      </c>
      <c r="D24" s="141" t="s">
        <v>414</v>
      </c>
      <c r="E24" s="141">
        <v>27.5</v>
      </c>
      <c r="F24" s="144">
        <f>E25*F$23</f>
        <v>27.52293577981651</v>
      </c>
      <c r="G24" s="141" t="s">
        <v>415</v>
      </c>
      <c r="H24" s="141"/>
      <c r="I24" s="141"/>
      <c r="J24" s="141"/>
      <c r="K24" s="141"/>
      <c r="L24" s="141"/>
      <c r="M24" s="141"/>
      <c r="N24" s="141"/>
    </row>
    <row r="25" spans="1:14" ht="16" x14ac:dyDescent="0.2">
      <c r="A25" s="141" t="s">
        <v>245</v>
      </c>
      <c r="B25" s="141">
        <v>32</v>
      </c>
      <c r="C25" s="141" t="s">
        <v>416</v>
      </c>
      <c r="D25" s="141" t="s">
        <v>417</v>
      </c>
      <c r="E25" s="141">
        <v>30</v>
      </c>
      <c r="F25" s="156">
        <f>Brands!$B$9</f>
        <v>0.3</v>
      </c>
      <c r="G25" s="141" t="s">
        <v>418</v>
      </c>
      <c r="H25" s="141"/>
      <c r="I25" s="141"/>
      <c r="J25" s="141"/>
      <c r="K25" s="141"/>
      <c r="L25" s="141"/>
      <c r="M25" s="141"/>
      <c r="N25" s="141"/>
    </row>
    <row r="26" spans="1:14" ht="16" x14ac:dyDescent="0.2">
      <c r="A26" s="141" t="s">
        <v>245</v>
      </c>
      <c r="B26" s="141">
        <v>33</v>
      </c>
      <c r="C26" s="141" t="s">
        <v>419</v>
      </c>
      <c r="D26" s="141" t="s">
        <v>420</v>
      </c>
      <c r="E26" s="141">
        <v>27.3</v>
      </c>
      <c r="F26" s="144">
        <f>E27*F$23</f>
        <v>27.339449541284402</v>
      </c>
      <c r="G26" s="141" t="s">
        <v>421</v>
      </c>
      <c r="H26" s="141"/>
      <c r="I26" s="141"/>
      <c r="J26" s="141"/>
      <c r="K26" s="141"/>
      <c r="L26" s="141"/>
      <c r="M26" s="141"/>
      <c r="N26" s="141"/>
    </row>
    <row r="27" spans="1:14" ht="16" x14ac:dyDescent="0.2">
      <c r="A27" s="141" t="s">
        <v>245</v>
      </c>
      <c r="B27" s="141">
        <v>34</v>
      </c>
      <c r="C27" s="141" t="s">
        <v>422</v>
      </c>
      <c r="D27" s="141" t="s">
        <v>315</v>
      </c>
      <c r="E27" s="141">
        <v>29.8</v>
      </c>
      <c r="F27" s="156">
        <f>Pharmacy!$B$9</f>
        <v>0.29787253798337188</v>
      </c>
      <c r="G27" s="141" t="s">
        <v>247</v>
      </c>
      <c r="H27" s="141"/>
      <c r="I27" s="141"/>
      <c r="J27" s="141"/>
      <c r="K27" s="141"/>
      <c r="L27" s="141"/>
      <c r="M27" s="141"/>
      <c r="N27" s="141"/>
    </row>
    <row r="28" spans="1:14" ht="16" x14ac:dyDescent="0.2">
      <c r="A28" s="141" t="s">
        <v>245</v>
      </c>
      <c r="B28" s="141">
        <v>35</v>
      </c>
      <c r="C28" s="141" t="s">
        <v>423</v>
      </c>
      <c r="D28" s="141" t="s">
        <v>424</v>
      </c>
      <c r="E28" s="141">
        <v>20.8</v>
      </c>
      <c r="F28" s="144">
        <f>E25*F$22</f>
        <v>20.833333333333332</v>
      </c>
      <c r="G28" s="141" t="s">
        <v>425</v>
      </c>
      <c r="H28" s="141"/>
      <c r="I28" s="141"/>
      <c r="J28" s="141"/>
      <c r="K28" s="141"/>
      <c r="L28" s="141"/>
      <c r="M28" s="141"/>
      <c r="N28" s="141"/>
    </row>
    <row r="29" spans="1:14" ht="16" x14ac:dyDescent="0.2">
      <c r="A29" s="141" t="s">
        <v>245</v>
      </c>
      <c r="B29" s="141">
        <v>36</v>
      </c>
      <c r="C29" s="141" t="s">
        <v>426</v>
      </c>
      <c r="D29" s="141" t="s">
        <v>427</v>
      </c>
      <c r="E29" s="141">
        <v>20.7</v>
      </c>
      <c r="F29" s="144">
        <f>E27*F$22</f>
        <v>20.694444444444443</v>
      </c>
      <c r="G29" s="141" t="s">
        <v>314</v>
      </c>
      <c r="H29" s="141"/>
      <c r="I29" s="141"/>
      <c r="J29" s="141"/>
      <c r="K29" s="141"/>
      <c r="L29" s="141"/>
      <c r="M29" s="141"/>
      <c r="N29" s="141"/>
    </row>
    <row r="30" spans="1:14" ht="16" x14ac:dyDescent="0.2">
      <c r="A30" s="141" t="s">
        <v>271</v>
      </c>
      <c r="B30" s="141">
        <v>38</v>
      </c>
      <c r="C30" s="141" t="s">
        <v>428</v>
      </c>
      <c r="D30" s="141" t="s">
        <v>261</v>
      </c>
      <c r="E30" s="141">
        <v>1</v>
      </c>
      <c r="F30" s="141"/>
      <c r="G30" s="141" t="s">
        <v>327</v>
      </c>
      <c r="H30" s="141"/>
      <c r="I30" s="141"/>
      <c r="J30" s="141"/>
      <c r="K30" s="141"/>
      <c r="L30" s="141"/>
      <c r="M30" s="141"/>
      <c r="N30" s="141"/>
    </row>
    <row r="31" spans="1:14" ht="16" x14ac:dyDescent="0.2">
      <c r="A31" s="141" t="s">
        <v>245</v>
      </c>
      <c r="B31" s="141">
        <v>40</v>
      </c>
      <c r="C31" s="141" t="s">
        <v>429</v>
      </c>
      <c r="D31" s="141" t="s">
        <v>430</v>
      </c>
      <c r="E31" s="141">
        <v>3.1</v>
      </c>
      <c r="F31" s="146">
        <f>Tables12!$E$6</f>
        <v>-3.1248031177992908E-2</v>
      </c>
      <c r="G31" s="141" t="s">
        <v>431</v>
      </c>
      <c r="H31" s="141"/>
      <c r="I31" s="141"/>
      <c r="J31" s="141"/>
      <c r="K31" s="141"/>
      <c r="L31" s="141"/>
      <c r="M31" s="141"/>
      <c r="N31" s="141"/>
    </row>
    <row r="32" spans="1:14" ht="16" x14ac:dyDescent="0.2">
      <c r="A32" s="141" t="s">
        <v>245</v>
      </c>
      <c r="B32" s="141">
        <v>41</v>
      </c>
      <c r="C32" s="141" t="s">
        <v>432</v>
      </c>
      <c r="D32" s="141" t="s">
        <v>433</v>
      </c>
      <c r="E32" s="141">
        <v>10.5</v>
      </c>
      <c r="F32" s="146">
        <f>Tables12!$I$6</f>
        <v>-0.10508085641656484</v>
      </c>
      <c r="G32" s="141" t="s">
        <v>434</v>
      </c>
      <c r="H32" s="141"/>
      <c r="I32" s="136"/>
      <c r="J32" s="141"/>
      <c r="K32" s="141"/>
      <c r="L32" s="141"/>
      <c r="M32" s="141"/>
      <c r="N32" s="141"/>
    </row>
    <row r="33" spans="1:14" ht="16" x14ac:dyDescent="0.2">
      <c r="A33" s="141" t="s">
        <v>245</v>
      </c>
      <c r="B33" s="141">
        <v>42</v>
      </c>
      <c r="C33" s="141" t="s">
        <v>435</v>
      </c>
      <c r="D33" s="141" t="s">
        <v>317</v>
      </c>
      <c r="E33" s="141">
        <v>0.5</v>
      </c>
      <c r="F33" s="146">
        <f>Tables12!$E$7</f>
        <v>-5.3510951952194796E-3</v>
      </c>
      <c r="G33" s="141" t="s">
        <v>436</v>
      </c>
      <c r="H33" s="141"/>
      <c r="I33" s="141"/>
      <c r="J33" s="141"/>
      <c r="K33" s="141"/>
      <c r="L33" s="141"/>
      <c r="M33" s="141"/>
      <c r="N33" s="141"/>
    </row>
    <row r="34" spans="1:14" ht="16" x14ac:dyDescent="0.2">
      <c r="A34" s="141" t="s">
        <v>245</v>
      </c>
      <c r="B34" s="141">
        <v>43</v>
      </c>
      <c r="C34" s="141" t="s">
        <v>437</v>
      </c>
      <c r="D34" s="141" t="s">
        <v>438</v>
      </c>
      <c r="E34" s="141">
        <v>1.7</v>
      </c>
      <c r="F34" s="146">
        <f>Tables12!$I$7</f>
        <v>-1.7113218675990249E-2</v>
      </c>
      <c r="G34" s="141" t="s">
        <v>439</v>
      </c>
      <c r="H34" s="141"/>
      <c r="I34" s="141"/>
      <c r="J34" s="141"/>
      <c r="K34" s="141"/>
      <c r="L34" s="141"/>
      <c r="M34" s="141"/>
      <c r="N34" s="141"/>
    </row>
    <row r="35" spans="1:14" ht="16" x14ac:dyDescent="0.2">
      <c r="A35" s="141" t="s">
        <v>271</v>
      </c>
      <c r="B35" s="141">
        <v>45</v>
      </c>
      <c r="C35" s="141" t="s">
        <v>440</v>
      </c>
      <c r="D35" s="141" t="s">
        <v>261</v>
      </c>
      <c r="E35" s="141">
        <v>1</v>
      </c>
      <c r="F35" s="141"/>
      <c r="G35" s="141" t="s">
        <v>327</v>
      </c>
      <c r="H35" s="141"/>
      <c r="I35" s="141"/>
      <c r="J35" s="141"/>
      <c r="K35" s="141"/>
      <c r="L35" s="141"/>
      <c r="M35" s="141"/>
      <c r="N35" s="141"/>
    </row>
    <row r="36" spans="1:14" ht="16" x14ac:dyDescent="0.2">
      <c r="A36" s="141" t="s">
        <v>245</v>
      </c>
      <c r="B36" s="141">
        <v>46</v>
      </c>
      <c r="C36" s="141" t="s">
        <v>441</v>
      </c>
      <c r="D36" s="142" t="s">
        <v>273</v>
      </c>
      <c r="E36" s="141">
        <v>5</v>
      </c>
      <c r="F36" s="143">
        <f>Tables12!$E$10</f>
        <v>4.8582420046239916E-2</v>
      </c>
      <c r="G36" s="141" t="s">
        <v>596</v>
      </c>
      <c r="H36" s="141"/>
      <c r="I36" s="141"/>
      <c r="J36" s="141"/>
      <c r="K36" s="141"/>
      <c r="L36" s="141"/>
      <c r="M36" s="141"/>
      <c r="N36" s="141"/>
    </row>
    <row r="37" spans="1:14" ht="16" x14ac:dyDescent="0.2">
      <c r="A37" s="141" t="s">
        <v>245</v>
      </c>
      <c r="B37" s="141">
        <v>47</v>
      </c>
      <c r="C37" s="141" t="s">
        <v>595</v>
      </c>
      <c r="D37" s="142" t="s">
        <v>326</v>
      </c>
      <c r="E37" s="141">
        <v>18</v>
      </c>
      <c r="F37" s="143">
        <f>Tables12!$I$10</f>
        <v>0.1786941016578274</v>
      </c>
      <c r="G37" s="141" t="s">
        <v>247</v>
      </c>
      <c r="H37" s="141"/>
      <c r="I37" s="141"/>
      <c r="J37" s="141"/>
      <c r="K37" s="141"/>
      <c r="L37" s="141"/>
      <c r="M37" s="141"/>
      <c r="N37" s="141"/>
    </row>
    <row r="38" spans="1:14" ht="16" x14ac:dyDescent="0.2">
      <c r="A38" s="141" t="s">
        <v>271</v>
      </c>
      <c r="B38" s="141">
        <v>48</v>
      </c>
      <c r="C38" s="141" t="s">
        <v>272</v>
      </c>
      <c r="D38" s="141" t="s">
        <v>261</v>
      </c>
      <c r="E38" s="141">
        <v>1</v>
      </c>
      <c r="F38" s="141"/>
      <c r="G38" s="141" t="s">
        <v>442</v>
      </c>
      <c r="H38" s="141"/>
      <c r="I38" s="141"/>
      <c r="J38" s="141"/>
      <c r="K38" s="141"/>
      <c r="L38" s="141"/>
      <c r="M38" s="141"/>
      <c r="N38" s="141"/>
    </row>
    <row r="39" spans="1:14" ht="16" x14ac:dyDescent="0.2">
      <c r="A39" s="141" t="s">
        <v>271</v>
      </c>
      <c r="B39" s="141">
        <v>49</v>
      </c>
      <c r="C39" s="141" t="s">
        <v>443</v>
      </c>
      <c r="D39" s="141" t="s">
        <v>261</v>
      </c>
      <c r="E39" s="141">
        <v>1</v>
      </c>
      <c r="F39" s="141"/>
      <c r="G39" s="141" t="s">
        <v>444</v>
      </c>
      <c r="H39" s="142"/>
      <c r="I39" s="141"/>
      <c r="J39" s="141"/>
      <c r="K39" s="141"/>
      <c r="L39" s="141"/>
      <c r="M39" s="141"/>
      <c r="N39" s="141"/>
    </row>
    <row r="40" spans="1:14" ht="16" x14ac:dyDescent="0.2">
      <c r="A40" s="141" t="s">
        <v>271</v>
      </c>
      <c r="B40" s="141">
        <v>51</v>
      </c>
      <c r="C40" s="141" t="s">
        <v>272</v>
      </c>
      <c r="D40" s="141" t="s">
        <v>261</v>
      </c>
      <c r="E40" s="141">
        <v>1</v>
      </c>
      <c r="F40" s="141"/>
      <c r="G40" s="141" t="s">
        <v>445</v>
      </c>
      <c r="H40" s="141"/>
      <c r="I40" s="141"/>
      <c r="J40" s="141"/>
      <c r="K40" s="141"/>
      <c r="L40" s="141"/>
      <c r="M40" s="141"/>
      <c r="N40" s="141"/>
    </row>
    <row r="41" spans="1:14" ht="16" x14ac:dyDescent="0.2">
      <c r="A41" s="141" t="s">
        <v>245</v>
      </c>
      <c r="B41" s="141">
        <v>52</v>
      </c>
      <c r="C41" s="141" t="s">
        <v>446</v>
      </c>
      <c r="D41" s="141" t="s">
        <v>248</v>
      </c>
      <c r="E41" s="141">
        <v>2</v>
      </c>
      <c r="F41" s="145">
        <f>Tables12!$E$27</f>
        <v>1.7886748017604175</v>
      </c>
      <c r="G41" s="141" t="s">
        <v>447</v>
      </c>
      <c r="H41" s="141"/>
      <c r="I41" s="141"/>
      <c r="J41" s="141"/>
      <c r="K41" s="141"/>
      <c r="L41" s="141"/>
      <c r="M41" s="141"/>
      <c r="N41" s="141"/>
    </row>
    <row r="42" spans="1:14" ht="16" x14ac:dyDescent="0.2">
      <c r="A42" s="141" t="s">
        <v>245</v>
      </c>
      <c r="B42" s="141">
        <v>53</v>
      </c>
      <c r="C42" s="141" t="s">
        <v>448</v>
      </c>
      <c r="D42" s="141" t="s">
        <v>319</v>
      </c>
      <c r="E42" s="141">
        <v>6</v>
      </c>
      <c r="F42" s="145">
        <f>Tables12!$I$27</f>
        <v>6.349260160965061</v>
      </c>
      <c r="G42" s="141" t="s">
        <v>305</v>
      </c>
      <c r="H42" s="141"/>
      <c r="I42" s="141"/>
      <c r="J42" s="141"/>
      <c r="K42" s="141"/>
      <c r="L42" s="141"/>
      <c r="M42" s="141"/>
      <c r="N42" s="141"/>
    </row>
    <row r="43" spans="1:14" ht="16" x14ac:dyDescent="0.2">
      <c r="A43" s="141" t="s">
        <v>245</v>
      </c>
      <c r="B43" s="141">
        <v>54</v>
      </c>
      <c r="C43" s="141" t="s">
        <v>449</v>
      </c>
      <c r="D43" s="141" t="s">
        <v>274</v>
      </c>
      <c r="E43" s="141">
        <v>3</v>
      </c>
      <c r="F43" s="143">
        <f>Tables12!$C$6</f>
        <v>-2.7965578528135415E-2</v>
      </c>
      <c r="G43" s="141" t="s">
        <v>450</v>
      </c>
      <c r="H43" s="141"/>
      <c r="I43" s="141"/>
      <c r="J43" s="141"/>
      <c r="K43" s="141"/>
      <c r="L43" s="141"/>
      <c r="M43" s="141"/>
      <c r="N43" s="141"/>
    </row>
    <row r="44" spans="1:14" ht="16" x14ac:dyDescent="0.2">
      <c r="A44" s="141" t="s">
        <v>245</v>
      </c>
      <c r="B44" s="141">
        <v>55</v>
      </c>
      <c r="C44" s="141" t="s">
        <v>451</v>
      </c>
      <c r="D44" s="141" t="s">
        <v>269</v>
      </c>
      <c r="E44" s="141">
        <v>10</v>
      </c>
      <c r="F44" s="143">
        <f>Tables12!$G$6</f>
        <v>-9.5669337477422678E-2</v>
      </c>
      <c r="G44" s="141" t="s">
        <v>452</v>
      </c>
      <c r="H44" s="141"/>
      <c r="I44" s="141"/>
      <c r="J44" s="141"/>
      <c r="K44" s="141"/>
      <c r="L44" s="141"/>
      <c r="M44" s="141"/>
      <c r="N44" s="141"/>
    </row>
    <row r="45" spans="1:14" ht="16" x14ac:dyDescent="0.2">
      <c r="A45" s="141" t="s">
        <v>245</v>
      </c>
      <c r="B45" s="141">
        <v>56</v>
      </c>
      <c r="C45" s="141" t="s">
        <v>453</v>
      </c>
      <c r="D45" s="141" t="s">
        <v>319</v>
      </c>
      <c r="E45" s="141">
        <v>6</v>
      </c>
      <c r="F45" s="143">
        <f>Tables12!$C$9</f>
        <v>6.3703489111023304E-2</v>
      </c>
      <c r="G45" s="141" t="s">
        <v>454</v>
      </c>
      <c r="H45" s="141"/>
      <c r="I45" s="141"/>
      <c r="J45" s="141"/>
      <c r="K45" s="141"/>
      <c r="L45" s="141"/>
      <c r="M45" s="141"/>
      <c r="N45" s="141"/>
    </row>
    <row r="46" spans="1:14" ht="16" x14ac:dyDescent="0.2">
      <c r="A46" s="141" t="s">
        <v>245</v>
      </c>
      <c r="B46" s="141">
        <v>57</v>
      </c>
      <c r="C46" s="141" t="s">
        <v>455</v>
      </c>
      <c r="D46" s="141" t="s">
        <v>300</v>
      </c>
      <c r="E46" s="141">
        <v>24</v>
      </c>
      <c r="F46" s="143">
        <f>Tables12!$G$9</f>
        <v>0.2367645891832415</v>
      </c>
      <c r="G46" s="141" t="s">
        <v>456</v>
      </c>
      <c r="H46" s="141"/>
      <c r="J46" s="141"/>
      <c r="K46" s="141"/>
      <c r="L46" s="141"/>
      <c r="M46" s="141"/>
      <c r="N46" s="141"/>
    </row>
    <row r="47" spans="1:14" ht="16" x14ac:dyDescent="0.2">
      <c r="A47" s="141" t="s">
        <v>271</v>
      </c>
      <c r="B47" s="141">
        <v>59</v>
      </c>
      <c r="C47" s="141" t="s">
        <v>457</v>
      </c>
      <c r="D47" s="141" t="s">
        <v>261</v>
      </c>
      <c r="E47" s="141">
        <v>1</v>
      </c>
      <c r="F47" s="141"/>
      <c r="G47" s="141" t="s">
        <v>458</v>
      </c>
      <c r="H47" s="141"/>
      <c r="I47" s="141"/>
      <c r="J47" s="141"/>
      <c r="K47" s="141"/>
      <c r="L47" s="141"/>
      <c r="M47" s="141"/>
      <c r="N47" s="141"/>
    </row>
    <row r="48" spans="1:14" ht="16" x14ac:dyDescent="0.2">
      <c r="A48" s="141" t="s">
        <v>245</v>
      </c>
      <c r="B48" s="141">
        <v>60</v>
      </c>
      <c r="C48" s="141" t="s">
        <v>459</v>
      </c>
      <c r="D48" s="141" t="s">
        <v>460</v>
      </c>
      <c r="E48" s="141">
        <v>0.2</v>
      </c>
      <c r="F48" s="144">
        <f>Tables12!$E$32</f>
        <v>0.20355288989700199</v>
      </c>
      <c r="G48" s="141" t="s">
        <v>461</v>
      </c>
      <c r="H48" s="141"/>
      <c r="I48" s="141"/>
      <c r="J48" s="141"/>
      <c r="K48" s="141"/>
      <c r="L48" s="141"/>
      <c r="M48" s="141"/>
      <c r="N48" s="141"/>
    </row>
    <row r="49" spans="1:14" ht="16" x14ac:dyDescent="0.2">
      <c r="A49" s="141" t="s">
        <v>245</v>
      </c>
      <c r="B49" s="141">
        <v>61</v>
      </c>
      <c r="C49" s="141" t="s">
        <v>462</v>
      </c>
      <c r="D49" s="141" t="s">
        <v>318</v>
      </c>
      <c r="E49" s="141">
        <v>0.6</v>
      </c>
      <c r="F49" s="144">
        <f>Tables12!$I$32</f>
        <v>0.64908503068410828</v>
      </c>
      <c r="G49" s="141" t="s">
        <v>305</v>
      </c>
      <c r="H49" s="141"/>
      <c r="I49" s="141"/>
      <c r="J49" s="141"/>
      <c r="K49" s="141"/>
      <c r="L49" s="141"/>
      <c r="M49" s="141"/>
      <c r="N49" s="141"/>
    </row>
    <row r="50" spans="1:14" ht="16" x14ac:dyDescent="0.2">
      <c r="A50" s="141" t="s">
        <v>271</v>
      </c>
      <c r="B50" s="141">
        <v>63</v>
      </c>
      <c r="C50" s="141" t="s">
        <v>312</v>
      </c>
      <c r="D50" s="141" t="s">
        <v>261</v>
      </c>
      <c r="E50" s="141">
        <v>1</v>
      </c>
      <c r="F50" s="141"/>
      <c r="G50" s="141" t="s">
        <v>275</v>
      </c>
      <c r="H50" s="141"/>
      <c r="I50" s="141"/>
      <c r="J50" s="141"/>
      <c r="K50" s="141"/>
      <c r="L50" s="141"/>
      <c r="M50" s="141"/>
      <c r="N50" s="141"/>
    </row>
    <row r="51" spans="1:14" ht="16" x14ac:dyDescent="0.2">
      <c r="A51" s="141" t="s">
        <v>271</v>
      </c>
      <c r="B51" s="141">
        <v>64</v>
      </c>
      <c r="C51" s="141" t="s">
        <v>463</v>
      </c>
      <c r="D51" s="141" t="s">
        <v>276</v>
      </c>
      <c r="E51" s="141">
        <v>2</v>
      </c>
      <c r="F51" s="141"/>
      <c r="G51" s="141"/>
      <c r="H51" s="141"/>
      <c r="I51" s="141"/>
      <c r="J51" s="141"/>
      <c r="K51" s="141"/>
      <c r="L51" s="141"/>
      <c r="M51" s="141"/>
      <c r="N51" s="141"/>
    </row>
    <row r="52" spans="1:14" ht="16" x14ac:dyDescent="0.2">
      <c r="A52" s="141" t="s">
        <v>245</v>
      </c>
      <c r="B52" s="141">
        <v>65</v>
      </c>
      <c r="C52" s="141" t="s">
        <v>328</v>
      </c>
      <c r="D52" s="141" t="s">
        <v>250</v>
      </c>
      <c r="E52" s="141">
        <v>2</v>
      </c>
      <c r="F52" s="146"/>
      <c r="G52" s="141" t="s">
        <v>464</v>
      </c>
      <c r="H52" s="141"/>
      <c r="I52" s="141"/>
      <c r="J52" s="141"/>
      <c r="K52" s="141"/>
      <c r="L52" s="141"/>
      <c r="M52" s="141"/>
      <c r="N52" s="141"/>
    </row>
    <row r="53" spans="1:14" ht="16" x14ac:dyDescent="0.2">
      <c r="A53" s="141" t="s">
        <v>271</v>
      </c>
      <c r="B53" s="141">
        <v>66</v>
      </c>
      <c r="C53" s="141" t="s">
        <v>465</v>
      </c>
      <c r="D53" s="141" t="s">
        <v>261</v>
      </c>
      <c r="E53" s="141">
        <v>1</v>
      </c>
      <c r="F53" s="146"/>
      <c r="G53" s="141" t="s">
        <v>466</v>
      </c>
      <c r="H53" s="141"/>
      <c r="I53" s="141"/>
      <c r="J53" s="141"/>
      <c r="K53" s="141"/>
      <c r="L53" s="141"/>
      <c r="M53" s="141"/>
      <c r="N53" s="141"/>
    </row>
    <row r="54" spans="1:14" ht="16" x14ac:dyDescent="0.2">
      <c r="A54" s="141" t="s">
        <v>271</v>
      </c>
      <c r="B54" s="141">
        <v>67</v>
      </c>
      <c r="C54" s="141" t="s">
        <v>467</v>
      </c>
      <c r="D54" s="141" t="s">
        <v>261</v>
      </c>
      <c r="E54" s="141">
        <v>1</v>
      </c>
      <c r="F54" s="146"/>
      <c r="G54" s="141" t="s">
        <v>468</v>
      </c>
      <c r="H54" s="141"/>
      <c r="I54" s="141"/>
      <c r="J54" s="141"/>
      <c r="K54" s="141"/>
      <c r="L54" s="141"/>
      <c r="M54" s="141"/>
      <c r="N54" s="141"/>
    </row>
    <row r="55" spans="1:14" ht="16" x14ac:dyDescent="0.2">
      <c r="A55" s="141" t="s">
        <v>271</v>
      </c>
      <c r="B55" s="141">
        <v>68</v>
      </c>
      <c r="C55" s="141" t="s">
        <v>469</v>
      </c>
      <c r="D55" s="141" t="s">
        <v>248</v>
      </c>
      <c r="E55" s="141">
        <v>2</v>
      </c>
      <c r="F55" s="146"/>
      <c r="G55" s="141" t="s">
        <v>470</v>
      </c>
      <c r="H55" s="141"/>
      <c r="I55" s="141"/>
      <c r="J55" s="141"/>
      <c r="K55" s="141"/>
      <c r="L55" s="141"/>
      <c r="M55" s="141"/>
      <c r="N55" s="141"/>
    </row>
    <row r="56" spans="1:14" ht="16" x14ac:dyDescent="0.2">
      <c r="A56" s="141" t="s">
        <v>245</v>
      </c>
      <c r="B56" s="141">
        <v>69</v>
      </c>
      <c r="C56" s="141" t="s">
        <v>471</v>
      </c>
      <c r="D56" s="141" t="s">
        <v>249</v>
      </c>
      <c r="E56" s="141"/>
      <c r="F56" s="141"/>
      <c r="G56" s="141" t="s">
        <v>472</v>
      </c>
      <c r="H56" s="141"/>
      <c r="I56" s="141"/>
      <c r="J56" s="141"/>
      <c r="K56" s="141"/>
      <c r="L56" s="141"/>
      <c r="M56" s="141"/>
      <c r="N56" s="141"/>
    </row>
    <row r="57" spans="1:14" ht="16" x14ac:dyDescent="0.2">
      <c r="A57" s="141" t="s">
        <v>271</v>
      </c>
      <c r="B57" s="141">
        <v>70</v>
      </c>
      <c r="C57" s="141" t="s">
        <v>473</v>
      </c>
      <c r="D57" s="142" t="s">
        <v>276</v>
      </c>
      <c r="E57" s="141">
        <v>2</v>
      </c>
      <c r="F57" s="143"/>
      <c r="G57" s="141"/>
      <c r="H57" s="141"/>
      <c r="I57" s="141"/>
      <c r="J57" s="141"/>
      <c r="K57" s="141"/>
      <c r="L57" s="141"/>
      <c r="M57" s="141"/>
      <c r="N57" s="141"/>
    </row>
    <row r="58" spans="1:14" ht="16" x14ac:dyDescent="0.2">
      <c r="A58" s="141" t="s">
        <v>271</v>
      </c>
      <c r="B58" s="141">
        <v>71</v>
      </c>
      <c r="C58" s="141" t="s">
        <v>277</v>
      </c>
      <c r="D58" s="141" t="s">
        <v>248</v>
      </c>
      <c r="E58" s="141">
        <v>2</v>
      </c>
      <c r="F58" s="145"/>
      <c r="G58" s="141" t="s">
        <v>278</v>
      </c>
      <c r="H58" s="141"/>
      <c r="I58" s="141"/>
      <c r="J58" s="141"/>
      <c r="K58" s="141"/>
      <c r="L58" s="141"/>
      <c r="M58" s="141"/>
      <c r="N58" s="141"/>
    </row>
    <row r="59" spans="1:14" ht="16" x14ac:dyDescent="0.2">
      <c r="A59" s="141" t="s">
        <v>245</v>
      </c>
      <c r="B59" s="141">
        <v>72</v>
      </c>
      <c r="C59" s="141" t="s">
        <v>279</v>
      </c>
      <c r="D59" s="141" t="s">
        <v>280</v>
      </c>
      <c r="E59" s="141">
        <v>6</v>
      </c>
      <c r="F59" s="141"/>
      <c r="G59" s="141" t="s">
        <v>281</v>
      </c>
      <c r="H59" s="141"/>
      <c r="I59" s="141"/>
      <c r="J59" s="141"/>
      <c r="K59" s="141"/>
      <c r="L59" s="141"/>
      <c r="M59" s="141"/>
      <c r="N59" s="141"/>
    </row>
    <row r="60" spans="1:14" ht="16" x14ac:dyDescent="0.2">
      <c r="A60" s="141" t="s">
        <v>245</v>
      </c>
      <c r="B60" s="141">
        <v>73</v>
      </c>
      <c r="C60" s="141" t="s">
        <v>282</v>
      </c>
      <c r="D60" s="141" t="s">
        <v>283</v>
      </c>
      <c r="E60" s="141">
        <v>7</v>
      </c>
      <c r="F60" s="141"/>
      <c r="G60" s="141" t="s">
        <v>284</v>
      </c>
      <c r="H60" s="141"/>
      <c r="I60" s="141"/>
      <c r="J60" s="141"/>
      <c r="K60" s="141"/>
      <c r="L60" s="141"/>
      <c r="M60" s="141"/>
      <c r="N60" s="141"/>
    </row>
    <row r="61" spans="1:14" ht="16" x14ac:dyDescent="0.2">
      <c r="A61" s="141" t="s">
        <v>245</v>
      </c>
      <c r="B61" s="141">
        <v>74</v>
      </c>
      <c r="C61" s="141" t="s">
        <v>285</v>
      </c>
      <c r="D61" s="141" t="s">
        <v>283</v>
      </c>
      <c r="E61" s="141">
        <v>7</v>
      </c>
      <c r="F61" s="141"/>
      <c r="G61" s="141" t="s">
        <v>286</v>
      </c>
      <c r="H61" s="141"/>
      <c r="I61" s="141"/>
      <c r="J61" s="141"/>
      <c r="K61" s="141"/>
      <c r="L61" s="141"/>
      <c r="M61" s="141"/>
      <c r="N61" s="141"/>
    </row>
    <row r="62" spans="1:14" ht="16" x14ac:dyDescent="0.2">
      <c r="A62" s="141" t="s">
        <v>271</v>
      </c>
      <c r="B62" s="141">
        <v>75</v>
      </c>
      <c r="C62" s="141" t="s">
        <v>287</v>
      </c>
      <c r="D62" s="141" t="s">
        <v>261</v>
      </c>
      <c r="E62" s="141">
        <v>1</v>
      </c>
      <c r="F62" s="141"/>
      <c r="G62" s="141" t="s">
        <v>288</v>
      </c>
      <c r="H62" s="141"/>
      <c r="I62" s="141"/>
      <c r="J62" s="141"/>
      <c r="K62" s="141"/>
      <c r="L62" s="141"/>
      <c r="M62" s="141"/>
      <c r="N62" s="141"/>
    </row>
    <row r="63" spans="1:14" ht="16" x14ac:dyDescent="0.2">
      <c r="A63" s="141" t="s">
        <v>271</v>
      </c>
      <c r="B63" s="141">
        <v>76</v>
      </c>
      <c r="C63" s="141" t="s">
        <v>289</v>
      </c>
      <c r="D63" s="141" t="s">
        <v>248</v>
      </c>
      <c r="E63" s="141">
        <v>2</v>
      </c>
      <c r="F63" s="141"/>
      <c r="G63" s="141" t="s">
        <v>290</v>
      </c>
      <c r="H63" s="141"/>
      <c r="I63" s="141"/>
      <c r="J63" s="141"/>
      <c r="K63" s="141"/>
      <c r="L63" s="141"/>
      <c r="M63" s="141"/>
      <c r="N63" s="141"/>
    </row>
    <row r="64" spans="1:14" ht="16" x14ac:dyDescent="0.2">
      <c r="A64" s="141" t="s">
        <v>271</v>
      </c>
      <c r="B64" s="141">
        <v>77</v>
      </c>
      <c r="C64" s="141" t="s">
        <v>291</v>
      </c>
      <c r="D64" s="141" t="s">
        <v>261</v>
      </c>
      <c r="E64" s="141">
        <v>1</v>
      </c>
      <c r="F64" s="141"/>
      <c r="G64" s="141" t="s">
        <v>292</v>
      </c>
      <c r="H64" s="141"/>
      <c r="I64" s="141"/>
      <c r="J64" s="141"/>
      <c r="K64" s="141"/>
      <c r="L64" s="141"/>
      <c r="M64" s="141"/>
      <c r="N64" s="141"/>
    </row>
    <row r="65" spans="1:14" ht="16" x14ac:dyDescent="0.2">
      <c r="A65" s="141" t="s">
        <v>245</v>
      </c>
      <c r="B65" s="141">
        <v>79</v>
      </c>
      <c r="C65" s="141" t="s">
        <v>474</v>
      </c>
      <c r="D65" s="141" t="s">
        <v>306</v>
      </c>
      <c r="E65" s="141">
        <v>4</v>
      </c>
      <c r="F65" s="145">
        <f>Tables12!$O$13</f>
        <v>4.0280221802084055</v>
      </c>
      <c r="G65" s="141" t="s">
        <v>475</v>
      </c>
      <c r="H65" s="141"/>
      <c r="I65" s="141"/>
      <c r="J65" s="141"/>
      <c r="K65" s="141"/>
      <c r="L65" s="141"/>
      <c r="M65" s="141"/>
      <c r="N65" s="141"/>
    </row>
    <row r="66" spans="1:14" ht="16" x14ac:dyDescent="0.2">
      <c r="A66" s="141" t="s">
        <v>245</v>
      </c>
      <c r="B66" s="141">
        <v>80</v>
      </c>
      <c r="C66" s="141" t="s">
        <v>476</v>
      </c>
      <c r="D66" s="141" t="s">
        <v>325</v>
      </c>
      <c r="E66" s="141">
        <v>13</v>
      </c>
      <c r="F66" s="145">
        <f>Tables12!$S$13</f>
        <v>12.76389982268474</v>
      </c>
      <c r="G66" s="141" t="s">
        <v>477</v>
      </c>
      <c r="H66" s="141"/>
      <c r="I66" s="141"/>
      <c r="J66" s="141"/>
      <c r="K66" s="141"/>
      <c r="L66" s="141"/>
      <c r="M66" s="141"/>
      <c r="N66" s="141"/>
    </row>
    <row r="67" spans="1:14" ht="16" x14ac:dyDescent="0.2">
      <c r="A67" s="141" t="s">
        <v>245</v>
      </c>
      <c r="B67" s="141">
        <v>81</v>
      </c>
      <c r="C67" s="141" t="s">
        <v>293</v>
      </c>
      <c r="D67" s="141" t="s">
        <v>306</v>
      </c>
      <c r="E67" s="141">
        <v>4</v>
      </c>
      <c r="F67" s="143">
        <f>Tables12!$O$14</f>
        <v>4.212556112939092E-2</v>
      </c>
      <c r="G67" s="141" t="s">
        <v>478</v>
      </c>
      <c r="H67" s="141"/>
      <c r="I67" s="141"/>
      <c r="J67" s="141"/>
      <c r="K67" s="141"/>
      <c r="L67" s="141"/>
      <c r="M67" s="141"/>
      <c r="N67" s="141"/>
    </row>
    <row r="68" spans="1:14" ht="16" x14ac:dyDescent="0.2">
      <c r="A68" s="141" t="s">
        <v>245</v>
      </c>
      <c r="B68" s="141">
        <v>82</v>
      </c>
      <c r="C68" s="141" t="s">
        <v>479</v>
      </c>
      <c r="D68" s="141" t="s">
        <v>311</v>
      </c>
      <c r="E68" s="141">
        <v>-13</v>
      </c>
      <c r="F68" s="143">
        <f>Tables12!$S$14</f>
        <v>0.13499042708693754</v>
      </c>
      <c r="G68" s="141" t="s">
        <v>294</v>
      </c>
      <c r="H68" s="141"/>
      <c r="I68" s="141"/>
      <c r="J68" s="141"/>
      <c r="K68" s="141"/>
      <c r="L68" s="141"/>
      <c r="M68" s="141"/>
      <c r="N68" s="141"/>
    </row>
    <row r="69" spans="1:14" ht="16" x14ac:dyDescent="0.2">
      <c r="A69" s="141" t="s">
        <v>245</v>
      </c>
      <c r="B69" s="141">
        <v>83</v>
      </c>
      <c r="C69" s="141" t="s">
        <v>480</v>
      </c>
      <c r="D69" s="141" t="s">
        <v>268</v>
      </c>
      <c r="E69" s="141">
        <v>3</v>
      </c>
      <c r="F69" s="141"/>
      <c r="G69" s="141" t="s">
        <v>481</v>
      </c>
      <c r="H69" s="141"/>
      <c r="I69" s="141"/>
      <c r="J69" s="141"/>
      <c r="K69" s="141"/>
      <c r="L69" s="141"/>
      <c r="M69" s="141"/>
      <c r="N69" s="141"/>
    </row>
    <row r="70" spans="1:14" ht="16" x14ac:dyDescent="0.2">
      <c r="A70" s="141" t="s">
        <v>245</v>
      </c>
      <c r="B70" s="141">
        <v>84</v>
      </c>
      <c r="C70" s="141" t="s">
        <v>482</v>
      </c>
      <c r="D70" s="141" t="s">
        <v>321</v>
      </c>
      <c r="E70" s="141">
        <v>4</v>
      </c>
      <c r="F70" s="141"/>
      <c r="G70" s="141" t="s">
        <v>483</v>
      </c>
      <c r="H70" s="141"/>
      <c r="I70" s="141"/>
      <c r="J70" s="141"/>
      <c r="K70" s="141"/>
      <c r="L70" s="141"/>
      <c r="M70" s="141"/>
      <c r="N70" s="141"/>
    </row>
    <row r="71" spans="1:14" ht="16" x14ac:dyDescent="0.2">
      <c r="A71" s="141" t="s">
        <v>245</v>
      </c>
      <c r="B71" s="141">
        <v>85</v>
      </c>
      <c r="C71" s="141" t="s">
        <v>484</v>
      </c>
      <c r="D71" s="141" t="s">
        <v>274</v>
      </c>
      <c r="E71" s="141">
        <v>3</v>
      </c>
      <c r="F71" s="145">
        <f>F65*0.75</f>
        <v>3.0210166351563039</v>
      </c>
      <c r="G71" s="141" t="s">
        <v>485</v>
      </c>
      <c r="H71" s="141"/>
      <c r="I71" s="141"/>
      <c r="J71" s="141"/>
      <c r="K71" s="141"/>
      <c r="L71" s="141"/>
      <c r="M71" s="141"/>
      <c r="N71" s="141"/>
    </row>
    <row r="72" spans="1:14" ht="16" x14ac:dyDescent="0.2">
      <c r="A72" s="141" t="s">
        <v>245</v>
      </c>
      <c r="B72" s="141">
        <v>86</v>
      </c>
      <c r="C72" s="141" t="s">
        <v>486</v>
      </c>
      <c r="D72" s="141" t="s">
        <v>269</v>
      </c>
      <c r="E72" s="141">
        <v>10</v>
      </c>
      <c r="F72" s="145">
        <f>F66*0.75</f>
        <v>9.5729248670135547</v>
      </c>
      <c r="G72" s="141" t="s">
        <v>487</v>
      </c>
      <c r="H72" s="141"/>
      <c r="I72" s="141"/>
      <c r="J72" s="141"/>
      <c r="K72" s="141"/>
      <c r="L72" s="141"/>
      <c r="M72" s="141"/>
      <c r="N72" s="141"/>
    </row>
    <row r="73" spans="1:14" ht="16" x14ac:dyDescent="0.2">
      <c r="A73" s="141" t="s">
        <v>271</v>
      </c>
      <c r="B73" s="141">
        <v>87</v>
      </c>
      <c r="C73" s="141" t="s">
        <v>488</v>
      </c>
      <c r="D73" s="141" t="s">
        <v>261</v>
      </c>
      <c r="E73" s="141">
        <v>1</v>
      </c>
      <c r="F73" s="141"/>
      <c r="G73" s="141" t="s">
        <v>275</v>
      </c>
      <c r="H73" s="141"/>
      <c r="I73" s="141"/>
      <c r="J73" s="141"/>
      <c r="K73" s="141"/>
      <c r="L73" s="141"/>
      <c r="M73" s="141"/>
      <c r="N73" s="141"/>
    </row>
    <row r="74" spans="1:14" ht="16" x14ac:dyDescent="0.2">
      <c r="A74" s="141" t="s">
        <v>245</v>
      </c>
      <c r="B74" s="141">
        <v>88</v>
      </c>
      <c r="C74" s="141" t="s">
        <v>489</v>
      </c>
      <c r="D74" s="141" t="s">
        <v>250</v>
      </c>
      <c r="E74" s="141">
        <v>2</v>
      </c>
      <c r="F74" s="141"/>
      <c r="G74" s="141" t="s">
        <v>297</v>
      </c>
      <c r="H74" s="141"/>
      <c r="I74" s="141"/>
      <c r="J74" s="141"/>
      <c r="K74" s="141"/>
      <c r="L74" s="141"/>
      <c r="M74" s="141"/>
      <c r="N74" s="141"/>
    </row>
    <row r="75" spans="1:14" ht="16" x14ac:dyDescent="0.2">
      <c r="A75" s="141" t="s">
        <v>245</v>
      </c>
      <c r="B75" s="141">
        <v>91</v>
      </c>
      <c r="C75" s="141" t="s">
        <v>490</v>
      </c>
      <c r="D75" s="141" t="s">
        <v>317</v>
      </c>
      <c r="E75" s="141">
        <v>0.5</v>
      </c>
      <c r="F75" s="144">
        <f>Tables12!$E$34</f>
        <v>0.48997611548400111</v>
      </c>
      <c r="G75" s="141" t="s">
        <v>491</v>
      </c>
      <c r="H75" s="141"/>
      <c r="I75" s="141"/>
      <c r="J75" s="141"/>
      <c r="K75" s="141"/>
      <c r="L75" s="141"/>
      <c r="M75" s="141"/>
      <c r="N75" s="141"/>
    </row>
    <row r="76" spans="1:14" ht="16" x14ac:dyDescent="0.2">
      <c r="A76" s="141" t="s">
        <v>245</v>
      </c>
      <c r="B76" s="141">
        <v>92</v>
      </c>
      <c r="C76" s="141" t="s">
        <v>492</v>
      </c>
      <c r="D76" s="141" t="s">
        <v>438</v>
      </c>
      <c r="E76" s="141">
        <v>1.7</v>
      </c>
      <c r="F76" s="144">
        <f>Tables12!$I$34</f>
        <v>1.7117694664763834</v>
      </c>
      <c r="G76" s="141" t="s">
        <v>493</v>
      </c>
      <c r="H76" s="141"/>
      <c r="I76" s="141"/>
      <c r="J76" s="141"/>
      <c r="K76" s="141"/>
      <c r="L76" s="141"/>
      <c r="M76" s="141"/>
      <c r="N76" s="141"/>
    </row>
    <row r="77" spans="1:14" ht="16" x14ac:dyDescent="0.2">
      <c r="A77" s="141" t="s">
        <v>271</v>
      </c>
      <c r="B77" s="141">
        <v>93</v>
      </c>
      <c r="C77" s="141" t="s">
        <v>494</v>
      </c>
      <c r="D77" s="141" t="s">
        <v>261</v>
      </c>
      <c r="E77" s="141">
        <v>1</v>
      </c>
      <c r="F77" s="141"/>
      <c r="G77" s="141" t="s">
        <v>298</v>
      </c>
      <c r="H77" s="141"/>
      <c r="I77" s="136"/>
      <c r="J77" s="141"/>
      <c r="K77" s="141"/>
      <c r="L77" s="141"/>
      <c r="M77" s="141"/>
      <c r="N77" s="141"/>
    </row>
    <row r="78" spans="1:14" ht="16" x14ac:dyDescent="0.2">
      <c r="A78" s="141" t="s">
        <v>245</v>
      </c>
      <c r="B78" s="141">
        <v>96</v>
      </c>
      <c r="C78" s="141" t="s">
        <v>495</v>
      </c>
      <c r="D78" s="142" t="s">
        <v>274</v>
      </c>
      <c r="E78" s="141">
        <v>3</v>
      </c>
      <c r="F78" s="145">
        <f>Tables12!$E$35</f>
        <v>3.3911328448177782</v>
      </c>
      <c r="G78" s="141" t="s">
        <v>496</v>
      </c>
      <c r="H78" s="141"/>
      <c r="I78" s="141"/>
      <c r="J78" s="141"/>
      <c r="K78" s="141"/>
      <c r="L78" s="141"/>
      <c r="M78" s="141"/>
      <c r="N78" s="141"/>
    </row>
    <row r="79" spans="1:14" ht="16" x14ac:dyDescent="0.2">
      <c r="A79" s="141" t="s">
        <v>245</v>
      </c>
      <c r="B79" s="141">
        <v>97</v>
      </c>
      <c r="C79" s="141" t="s">
        <v>598</v>
      </c>
      <c r="D79" s="142" t="s">
        <v>325</v>
      </c>
      <c r="E79" s="141">
        <v>13</v>
      </c>
      <c r="F79" s="145">
        <f>Tables12!$I$35</f>
        <v>12.546252969180719</v>
      </c>
      <c r="G79" s="141" t="s">
        <v>497</v>
      </c>
      <c r="H79" s="141"/>
      <c r="I79" s="141"/>
      <c r="J79" s="141"/>
      <c r="K79" s="141"/>
      <c r="L79" s="141"/>
      <c r="M79" s="141"/>
      <c r="N79" s="141"/>
    </row>
    <row r="80" spans="1:14" ht="16" x14ac:dyDescent="0.2">
      <c r="A80" s="141" t="s">
        <v>271</v>
      </c>
      <c r="B80" s="141">
        <v>98</v>
      </c>
      <c r="C80" s="141" t="s">
        <v>498</v>
      </c>
      <c r="D80" s="142" t="s">
        <v>261</v>
      </c>
      <c r="E80" s="141">
        <v>1</v>
      </c>
      <c r="F80" s="154"/>
      <c r="G80" s="141" t="s">
        <v>499</v>
      </c>
      <c r="H80" s="141"/>
      <c r="I80" s="141"/>
      <c r="J80" s="141"/>
      <c r="K80" s="141"/>
      <c r="L80" s="141"/>
      <c r="M80" s="141"/>
      <c r="N80" s="141"/>
    </row>
    <row r="81" spans="1:14" ht="16" x14ac:dyDescent="0.2">
      <c r="A81" s="141" t="s">
        <v>245</v>
      </c>
      <c r="B81" s="141">
        <v>99</v>
      </c>
      <c r="C81" s="141" t="s">
        <v>500</v>
      </c>
      <c r="D81" s="141" t="s">
        <v>268</v>
      </c>
      <c r="E81" s="141">
        <v>3</v>
      </c>
      <c r="F81" s="145"/>
      <c r="G81" s="141" t="s">
        <v>501</v>
      </c>
      <c r="H81" s="141"/>
      <c r="I81" s="141"/>
      <c r="J81" s="141"/>
      <c r="K81" s="141"/>
      <c r="L81" s="141"/>
      <c r="M81" s="141"/>
      <c r="N81" s="141"/>
    </row>
    <row r="82" spans="1:14" ht="16" x14ac:dyDescent="0.2">
      <c r="A82" s="141" t="s">
        <v>271</v>
      </c>
      <c r="B82" s="141">
        <v>102</v>
      </c>
      <c r="C82" s="141" t="s">
        <v>502</v>
      </c>
      <c r="D82" s="141" t="s">
        <v>261</v>
      </c>
      <c r="E82" s="141">
        <v>1</v>
      </c>
      <c r="F82" s="141"/>
      <c r="G82" s="141" t="s">
        <v>503</v>
      </c>
      <c r="H82" s="141"/>
      <c r="I82" s="141"/>
      <c r="J82" s="141"/>
      <c r="K82" s="141"/>
      <c r="L82" s="141"/>
      <c r="M82" s="141"/>
      <c r="N82" s="141"/>
    </row>
    <row r="83" spans="1:14" ht="16" x14ac:dyDescent="0.2">
      <c r="A83" s="141" t="s">
        <v>271</v>
      </c>
      <c r="B83" s="141">
        <v>103</v>
      </c>
      <c r="C83" s="141" t="s">
        <v>502</v>
      </c>
      <c r="D83" s="141" t="s">
        <v>261</v>
      </c>
      <c r="E83" s="141">
        <v>1</v>
      </c>
      <c r="F83" s="141"/>
      <c r="G83" s="141" t="s">
        <v>504</v>
      </c>
      <c r="H83" s="141"/>
      <c r="I83" s="141"/>
      <c r="J83" s="141"/>
      <c r="K83" s="141"/>
      <c r="L83" s="141"/>
      <c r="M83" s="141"/>
      <c r="N83" s="141"/>
    </row>
    <row r="84" spans="1:14" ht="16" x14ac:dyDescent="0.2">
      <c r="A84" s="141" t="s">
        <v>271</v>
      </c>
      <c r="B84" s="141">
        <v>104</v>
      </c>
      <c r="C84" s="141" t="s">
        <v>272</v>
      </c>
      <c r="D84" s="141" t="s">
        <v>261</v>
      </c>
      <c r="E84" s="141">
        <v>1</v>
      </c>
      <c r="F84" s="141"/>
      <c r="G84" s="141" t="s">
        <v>505</v>
      </c>
      <c r="H84" s="141"/>
      <c r="I84" s="141"/>
      <c r="J84" s="141"/>
      <c r="K84" s="141"/>
      <c r="L84" s="141"/>
      <c r="M84" s="141"/>
      <c r="N84" s="141"/>
    </row>
    <row r="85" spans="1:14" ht="16" x14ac:dyDescent="0.2">
      <c r="A85" s="141" t="s">
        <v>245</v>
      </c>
      <c r="B85" s="141">
        <v>105</v>
      </c>
      <c r="C85" s="141" t="s">
        <v>506</v>
      </c>
      <c r="D85" s="141" t="s">
        <v>329</v>
      </c>
      <c r="E85" s="141">
        <v>0.3</v>
      </c>
      <c r="F85" s="144">
        <f>Tables12!$E$29</f>
        <v>-0.30694912791828366</v>
      </c>
      <c r="G85" s="141" t="s">
        <v>507</v>
      </c>
      <c r="H85" s="141"/>
      <c r="I85" s="141"/>
      <c r="J85" s="141"/>
      <c r="K85" s="141"/>
      <c r="L85" s="141"/>
      <c r="M85" s="141"/>
      <c r="N85" s="141"/>
    </row>
    <row r="86" spans="1:14" ht="16" x14ac:dyDescent="0.2">
      <c r="A86" s="141" t="s">
        <v>245</v>
      </c>
      <c r="B86" s="141">
        <v>106</v>
      </c>
      <c r="C86" s="141" t="s">
        <v>508</v>
      </c>
      <c r="D86" s="141" t="s">
        <v>320</v>
      </c>
      <c r="E86" s="141">
        <v>3.4</v>
      </c>
      <c r="F86" s="144">
        <f>Tables12!$E$35</f>
        <v>3.3911328448177782</v>
      </c>
      <c r="G86" s="141" t="s">
        <v>305</v>
      </c>
      <c r="H86" s="141"/>
      <c r="I86" s="141"/>
      <c r="J86" s="141"/>
      <c r="K86" s="141"/>
      <c r="L86" s="141"/>
      <c r="M86" s="141"/>
      <c r="N86" s="141"/>
    </row>
    <row r="87" spans="1:14" ht="16" x14ac:dyDescent="0.2">
      <c r="A87" s="141" t="s">
        <v>245</v>
      </c>
      <c r="B87" s="141">
        <v>107</v>
      </c>
      <c r="C87" s="141" t="s">
        <v>509</v>
      </c>
      <c r="D87" s="141" t="s">
        <v>261</v>
      </c>
      <c r="E87" s="141">
        <v>1</v>
      </c>
      <c r="F87" s="141"/>
      <c r="G87" s="141" t="s">
        <v>510</v>
      </c>
      <c r="H87" s="141"/>
      <c r="I87" s="141"/>
      <c r="J87" s="141"/>
      <c r="K87" s="141"/>
      <c r="L87" s="141"/>
      <c r="M87" s="141"/>
      <c r="N87" s="141"/>
    </row>
    <row r="88" spans="1:14" ht="16" x14ac:dyDescent="0.2">
      <c r="A88" s="141" t="s">
        <v>245</v>
      </c>
      <c r="B88" s="141">
        <v>108</v>
      </c>
      <c r="C88" s="141" t="s">
        <v>511</v>
      </c>
      <c r="D88" s="141" t="s">
        <v>307</v>
      </c>
      <c r="E88" s="141">
        <v>12</v>
      </c>
      <c r="F88" s="145">
        <f>-(F86-F85)/F85</f>
        <v>12.04786603505376</v>
      </c>
      <c r="G88" s="141"/>
      <c r="H88" s="141"/>
      <c r="I88" s="141"/>
      <c r="J88" s="141"/>
      <c r="K88" s="141"/>
      <c r="L88" s="141"/>
      <c r="M88" s="141"/>
      <c r="N88" s="141"/>
    </row>
    <row r="89" spans="1:14" ht="16" x14ac:dyDescent="0.2">
      <c r="A89" s="141" t="s">
        <v>257</v>
      </c>
      <c r="B89" s="141">
        <v>113</v>
      </c>
      <c r="C89" s="141" t="s">
        <v>260</v>
      </c>
      <c r="D89" s="141" t="s">
        <v>261</v>
      </c>
      <c r="E89" s="141">
        <v>1</v>
      </c>
      <c r="F89" s="141"/>
      <c r="G89" s="141" t="s">
        <v>512</v>
      </c>
      <c r="H89" s="141"/>
      <c r="I89" s="141"/>
      <c r="J89" s="141"/>
      <c r="K89" s="141"/>
      <c r="L89" s="141"/>
      <c r="M89" s="141"/>
      <c r="N89" s="141"/>
    </row>
    <row r="90" spans="1:14" ht="16" x14ac:dyDescent="0.2">
      <c r="A90" s="141" t="s">
        <v>244</v>
      </c>
      <c r="B90" s="141">
        <v>114</v>
      </c>
      <c r="C90" s="141" t="s">
        <v>513</v>
      </c>
      <c r="D90" s="141" t="s">
        <v>256</v>
      </c>
      <c r="E90" s="141">
        <v>0</v>
      </c>
      <c r="F90" s="141"/>
      <c r="G90" s="141" t="s">
        <v>514</v>
      </c>
      <c r="H90" s="141"/>
      <c r="I90" s="141"/>
      <c r="J90" s="141"/>
      <c r="K90" s="141"/>
      <c r="L90" s="141"/>
      <c r="M90" s="141"/>
      <c r="N90" s="141"/>
    </row>
    <row r="91" spans="1:14" ht="16" x14ac:dyDescent="0.2">
      <c r="A91" s="141" t="s">
        <v>244</v>
      </c>
      <c r="B91" s="141">
        <v>115</v>
      </c>
      <c r="C91" s="141" t="s">
        <v>515</v>
      </c>
      <c r="D91" s="141" t="s">
        <v>261</v>
      </c>
      <c r="E91" s="141">
        <v>1</v>
      </c>
      <c r="F91" s="141"/>
      <c r="G91" s="141" t="s">
        <v>516</v>
      </c>
      <c r="H91" s="141"/>
      <c r="I91" s="141"/>
      <c r="J91" s="141"/>
      <c r="K91" s="141"/>
      <c r="L91" s="141"/>
      <c r="M91" s="141"/>
      <c r="N91" s="141"/>
    </row>
    <row r="92" spans="1:14" ht="16" x14ac:dyDescent="0.2">
      <c r="A92" s="141" t="s">
        <v>244</v>
      </c>
      <c r="B92" s="141">
        <v>116</v>
      </c>
      <c r="C92" s="141" t="s">
        <v>517</v>
      </c>
      <c r="D92" s="141" t="s">
        <v>256</v>
      </c>
      <c r="E92" s="141">
        <v>0</v>
      </c>
      <c r="F92" s="141"/>
      <c r="G92" s="141" t="s">
        <v>518</v>
      </c>
      <c r="H92" s="141"/>
      <c r="I92" s="141"/>
      <c r="J92" s="141"/>
      <c r="K92" s="141"/>
      <c r="L92" s="141"/>
      <c r="M92" s="141"/>
      <c r="N92" s="141"/>
    </row>
    <row r="93" spans="1:14" ht="16" x14ac:dyDescent="0.2">
      <c r="A93" s="141" t="s">
        <v>257</v>
      </c>
      <c r="B93" s="141">
        <v>122</v>
      </c>
      <c r="C93" s="141" t="s">
        <v>519</v>
      </c>
      <c r="D93" s="142" t="s">
        <v>259</v>
      </c>
      <c r="E93" s="141">
        <v>1</v>
      </c>
      <c r="F93" s="143"/>
      <c r="G93" s="141"/>
      <c r="I93" s="141"/>
      <c r="J93" s="141"/>
      <c r="K93" s="141"/>
      <c r="L93" s="141"/>
      <c r="M93" s="141"/>
      <c r="N93" s="141"/>
    </row>
    <row r="94" spans="1:14" ht="16" x14ac:dyDescent="0.2">
      <c r="A94" s="141" t="s">
        <v>244</v>
      </c>
      <c r="B94" s="141">
        <v>123</v>
      </c>
      <c r="C94" s="141" t="s">
        <v>520</v>
      </c>
      <c r="D94" s="141" t="s">
        <v>256</v>
      </c>
      <c r="E94" s="141">
        <v>0</v>
      </c>
      <c r="F94" s="141"/>
      <c r="G94" s="141" t="s">
        <v>521</v>
      </c>
      <c r="I94" s="141"/>
      <c r="J94" s="141"/>
      <c r="K94" s="141"/>
      <c r="L94" s="141"/>
      <c r="M94" s="141"/>
      <c r="N94" s="141"/>
    </row>
    <row r="95" spans="1:14" ht="16" x14ac:dyDescent="0.2">
      <c r="A95" s="141" t="s">
        <v>257</v>
      </c>
      <c r="B95" s="141">
        <v>124</v>
      </c>
      <c r="C95" s="141" t="s">
        <v>260</v>
      </c>
      <c r="D95" s="141" t="s">
        <v>261</v>
      </c>
      <c r="E95" s="141">
        <v>1</v>
      </c>
      <c r="F95" s="143"/>
      <c r="G95" s="141" t="s">
        <v>522</v>
      </c>
      <c r="I95" s="141"/>
      <c r="J95" s="141"/>
      <c r="K95" s="141"/>
      <c r="L95" s="141"/>
      <c r="M95" s="141"/>
      <c r="N95" s="141"/>
    </row>
    <row r="96" spans="1:14" ht="16" x14ac:dyDescent="0.2">
      <c r="A96" s="141" t="s">
        <v>257</v>
      </c>
      <c r="B96" s="141">
        <v>125</v>
      </c>
      <c r="C96" s="141" t="s">
        <v>523</v>
      </c>
      <c r="D96" s="141" t="s">
        <v>261</v>
      </c>
      <c r="E96" s="141">
        <v>1</v>
      </c>
      <c r="F96" s="143"/>
      <c r="G96" s="141" t="s">
        <v>524</v>
      </c>
      <c r="I96" s="141"/>
      <c r="J96" s="141"/>
      <c r="K96" s="141"/>
      <c r="L96" s="141"/>
      <c r="M96" s="141"/>
      <c r="N96" s="141"/>
    </row>
    <row r="97" spans="1:14" ht="16" x14ac:dyDescent="0.2">
      <c r="A97" s="141" t="s">
        <v>244</v>
      </c>
      <c r="B97" s="141">
        <v>126</v>
      </c>
      <c r="C97" s="141" t="s">
        <v>525</v>
      </c>
      <c r="D97" s="141" t="s">
        <v>322</v>
      </c>
      <c r="E97" s="141">
        <v>0</v>
      </c>
      <c r="F97" s="141"/>
      <c r="G97" s="141"/>
      <c r="H97" s="141"/>
      <c r="I97" s="141"/>
      <c r="J97" s="141"/>
      <c r="K97" s="141"/>
      <c r="L97" s="141"/>
      <c r="M97" s="141"/>
      <c r="N97" s="141"/>
    </row>
    <row r="98" spans="1:14" ht="16" x14ac:dyDescent="0.2">
      <c r="A98" s="141" t="s">
        <v>257</v>
      </c>
      <c r="B98" s="141">
        <v>127</v>
      </c>
      <c r="C98" s="141" t="s">
        <v>258</v>
      </c>
      <c r="D98" s="141" t="s">
        <v>259</v>
      </c>
      <c r="E98" s="141">
        <v>1</v>
      </c>
      <c r="F98" s="147"/>
      <c r="G98" s="141"/>
      <c r="H98" s="141"/>
      <c r="I98" s="141"/>
      <c r="J98" s="141"/>
      <c r="K98" s="141"/>
      <c r="L98" s="141"/>
      <c r="M98" s="141"/>
      <c r="N98" s="141"/>
    </row>
    <row r="99" spans="1:14" ht="16" x14ac:dyDescent="0.2">
      <c r="A99" s="141" t="s">
        <v>257</v>
      </c>
      <c r="B99" s="141">
        <v>128</v>
      </c>
      <c r="C99" s="141" t="s">
        <v>260</v>
      </c>
      <c r="D99" s="141" t="s">
        <v>261</v>
      </c>
      <c r="E99" s="141">
        <v>1</v>
      </c>
      <c r="F99" s="148"/>
      <c r="G99" s="141" t="s">
        <v>526</v>
      </c>
      <c r="H99" s="141"/>
      <c r="I99" s="141"/>
      <c r="J99" s="141"/>
      <c r="K99" s="141"/>
      <c r="L99" s="141"/>
      <c r="M99" s="141"/>
      <c r="N99" s="141"/>
    </row>
    <row r="100" spans="1:14" ht="16" x14ac:dyDescent="0.2">
      <c r="A100" s="141" t="s">
        <v>257</v>
      </c>
      <c r="B100" s="141">
        <v>130</v>
      </c>
      <c r="C100" s="141" t="s">
        <v>262</v>
      </c>
      <c r="D100" s="141" t="s">
        <v>261</v>
      </c>
      <c r="E100" s="141">
        <v>1</v>
      </c>
      <c r="F100" s="141"/>
      <c r="G100" s="141" t="s">
        <v>263</v>
      </c>
      <c r="H100" s="141"/>
      <c r="I100" s="141"/>
      <c r="J100" s="141"/>
      <c r="K100" s="141"/>
      <c r="L100" s="141"/>
      <c r="M100" s="141"/>
      <c r="N100" s="141"/>
    </row>
    <row r="101" spans="1:14" ht="16" x14ac:dyDescent="0.2">
      <c r="A101" s="141" t="s">
        <v>257</v>
      </c>
      <c r="B101" s="141">
        <v>131</v>
      </c>
      <c r="C101" s="141" t="s">
        <v>527</v>
      </c>
      <c r="D101" s="141" t="s">
        <v>261</v>
      </c>
      <c r="E101" s="141">
        <v>1</v>
      </c>
      <c r="F101" s="143"/>
      <c r="G101" s="141" t="s">
        <v>264</v>
      </c>
      <c r="H101" s="141"/>
      <c r="I101" s="141"/>
      <c r="J101" s="141"/>
      <c r="K101" s="141"/>
      <c r="L101" s="141"/>
      <c r="M101" s="141"/>
      <c r="N101" s="141"/>
    </row>
    <row r="102" spans="1:14" ht="16" x14ac:dyDescent="0.2">
      <c r="A102" s="141" t="s">
        <v>257</v>
      </c>
      <c r="B102" s="141">
        <v>133</v>
      </c>
      <c r="C102" s="141" t="s">
        <v>265</v>
      </c>
      <c r="D102" s="141" t="s">
        <v>261</v>
      </c>
      <c r="E102" s="141">
        <v>1</v>
      </c>
      <c r="F102" s="149"/>
      <c r="G102" s="141" t="s">
        <v>266</v>
      </c>
      <c r="H102" s="141"/>
      <c r="I102" s="141"/>
      <c r="J102" s="141"/>
      <c r="K102" s="141"/>
      <c r="L102" s="141"/>
      <c r="M102" s="141"/>
      <c r="N102" s="141"/>
    </row>
    <row r="103" spans="1:14" ht="16" x14ac:dyDescent="0.2">
      <c r="A103" s="141" t="s">
        <v>257</v>
      </c>
      <c r="B103" s="141">
        <v>134</v>
      </c>
      <c r="C103" s="141" t="s">
        <v>301</v>
      </c>
      <c r="D103" s="141" t="s">
        <v>261</v>
      </c>
      <c r="E103" s="141">
        <v>1</v>
      </c>
      <c r="F103" s="141"/>
      <c r="G103" s="141" t="s">
        <v>302</v>
      </c>
      <c r="H103" s="141"/>
      <c r="I103" s="141"/>
      <c r="J103" s="141"/>
      <c r="K103" s="141"/>
      <c r="L103" s="141"/>
      <c r="M103" s="141"/>
      <c r="N103" s="141"/>
    </row>
    <row r="104" spans="1:14" ht="16" x14ac:dyDescent="0.2">
      <c r="A104" s="141" t="s">
        <v>324</v>
      </c>
      <c r="B104" s="141">
        <v>137</v>
      </c>
      <c r="C104" s="141" t="s">
        <v>323</v>
      </c>
      <c r="D104" s="141" t="s">
        <v>261</v>
      </c>
      <c r="E104" s="141">
        <v>1</v>
      </c>
      <c r="F104" s="141"/>
      <c r="G104" s="141" t="s">
        <v>528</v>
      </c>
      <c r="H104" s="141"/>
      <c r="I104" s="141"/>
      <c r="J104" s="141"/>
      <c r="K104" s="141"/>
      <c r="L104" s="141"/>
      <c r="M104" s="141"/>
      <c r="N104" s="141"/>
    </row>
    <row r="105" spans="1:14" ht="16" x14ac:dyDescent="0.2">
      <c r="A105" s="141" t="s">
        <v>245</v>
      </c>
      <c r="B105" s="141">
        <v>138</v>
      </c>
      <c r="C105" s="141" t="s">
        <v>303</v>
      </c>
      <c r="D105" s="141" t="s">
        <v>261</v>
      </c>
      <c r="E105" s="141">
        <v>1</v>
      </c>
      <c r="F105" s="141"/>
      <c r="G105" s="141" t="s">
        <v>304</v>
      </c>
      <c r="H105" s="141"/>
      <c r="I105" s="141"/>
      <c r="J105" s="141"/>
      <c r="K105" s="141"/>
      <c r="L105" s="141"/>
      <c r="M105" s="141"/>
      <c r="N105" s="141"/>
    </row>
    <row r="106" spans="1:14" ht="16" x14ac:dyDescent="0.2">
      <c r="A106" s="141" t="s">
        <v>324</v>
      </c>
      <c r="B106" s="141">
        <v>140</v>
      </c>
      <c r="C106" s="141" t="s">
        <v>529</v>
      </c>
      <c r="D106" s="141" t="s">
        <v>248</v>
      </c>
      <c r="E106" s="141">
        <v>2</v>
      </c>
      <c r="F106" s="141"/>
      <c r="G106" s="141" t="s">
        <v>530</v>
      </c>
      <c r="H106" s="141"/>
      <c r="I106" s="141"/>
      <c r="J106" s="141"/>
      <c r="K106" s="141"/>
      <c r="L106" s="141"/>
      <c r="M106" s="141"/>
      <c r="N106" s="141"/>
    </row>
    <row r="107" spans="1:14" ht="16" x14ac:dyDescent="0.2">
      <c r="A107" s="141" t="s">
        <v>245</v>
      </c>
      <c r="B107" s="141">
        <v>141</v>
      </c>
      <c r="C107" s="141" t="s">
        <v>531</v>
      </c>
      <c r="D107" s="141" t="s">
        <v>250</v>
      </c>
      <c r="E107" s="141">
        <v>2</v>
      </c>
      <c r="F107" s="141"/>
      <c r="G107" s="141" t="s">
        <v>532</v>
      </c>
      <c r="H107" s="141"/>
      <c r="I107" s="141"/>
      <c r="J107" s="141"/>
      <c r="K107" s="141"/>
      <c r="L107" s="141"/>
      <c r="M107" s="141"/>
      <c r="N107" s="141"/>
    </row>
    <row r="108" spans="1:14" ht="16" x14ac:dyDescent="0.2">
      <c r="A108" s="141" t="s">
        <v>255</v>
      </c>
      <c r="B108" s="141">
        <v>149</v>
      </c>
      <c r="C108" s="141"/>
      <c r="D108" s="141" t="s">
        <v>254</v>
      </c>
      <c r="E108" s="141">
        <v>1</v>
      </c>
      <c r="F108" s="143"/>
      <c r="G108" s="141" t="s">
        <v>533</v>
      </c>
      <c r="H108" s="141"/>
      <c r="I108" s="141"/>
      <c r="J108" s="141"/>
      <c r="K108" s="141"/>
      <c r="L108" s="141"/>
      <c r="M108" s="141"/>
      <c r="N108" s="141"/>
    </row>
    <row r="109" spans="1:14" ht="16" x14ac:dyDescent="0.2">
      <c r="A109" s="141" t="s">
        <v>245</v>
      </c>
      <c r="B109" s="141">
        <v>151</v>
      </c>
      <c r="C109" s="141" t="s">
        <v>534</v>
      </c>
      <c r="D109" s="141" t="s">
        <v>254</v>
      </c>
      <c r="E109" s="141">
        <v>1</v>
      </c>
      <c r="F109" s="143"/>
      <c r="G109" s="141" t="s">
        <v>535</v>
      </c>
      <c r="H109" s="143"/>
      <c r="I109" s="141"/>
      <c r="J109" s="141"/>
      <c r="K109" s="141"/>
      <c r="L109" s="141"/>
      <c r="M109" s="141"/>
      <c r="N109" s="141"/>
    </row>
    <row r="110" spans="1:14" ht="16" x14ac:dyDescent="0.2">
      <c r="A110" s="141" t="s">
        <v>245</v>
      </c>
      <c r="B110" s="141">
        <v>152</v>
      </c>
      <c r="C110" s="141" t="s">
        <v>536</v>
      </c>
      <c r="D110" s="141" t="s">
        <v>254</v>
      </c>
      <c r="E110" s="141">
        <v>1</v>
      </c>
      <c r="F110" s="151"/>
      <c r="G110" s="141" t="s">
        <v>537</v>
      </c>
      <c r="H110" s="141"/>
      <c r="I110" s="141"/>
      <c r="J110" s="141"/>
      <c r="K110" s="141"/>
      <c r="L110" s="141"/>
      <c r="M110" s="141"/>
      <c r="N110" s="141"/>
    </row>
    <row r="111" spans="1:14" ht="16" x14ac:dyDescent="0.2">
      <c r="A111" s="141" t="s">
        <v>245</v>
      </c>
      <c r="B111" s="141">
        <v>153</v>
      </c>
      <c r="C111" s="141" t="s">
        <v>538</v>
      </c>
      <c r="D111" s="141" t="s">
        <v>251</v>
      </c>
      <c r="E111" s="141">
        <v>2022</v>
      </c>
      <c r="F111" s="150"/>
      <c r="G111" s="141" t="s">
        <v>539</v>
      </c>
      <c r="H111" s="141"/>
      <c r="I111" s="141"/>
      <c r="J111" s="141"/>
      <c r="K111" s="141"/>
      <c r="L111" s="141"/>
      <c r="M111" s="141"/>
      <c r="N111" s="141"/>
    </row>
    <row r="112" spans="1:14" ht="16" x14ac:dyDescent="0.2">
      <c r="A112" s="141" t="s">
        <v>344</v>
      </c>
      <c r="B112" s="141">
        <v>154</v>
      </c>
      <c r="C112" s="141" t="s">
        <v>540</v>
      </c>
      <c r="D112" s="141" t="s">
        <v>541</v>
      </c>
      <c r="E112" s="141">
        <v>387</v>
      </c>
      <c r="F112" s="146"/>
      <c r="G112" s="141" t="s">
        <v>542</v>
      </c>
      <c r="H112" s="143"/>
      <c r="I112" s="141"/>
      <c r="J112" s="141"/>
      <c r="K112" s="141"/>
      <c r="L112" s="141"/>
      <c r="M112" s="141"/>
      <c r="N112" s="141"/>
    </row>
    <row r="113" spans="1:14" ht="16" x14ac:dyDescent="0.2">
      <c r="A113" s="141" t="s">
        <v>245</v>
      </c>
      <c r="B113" s="141">
        <v>155</v>
      </c>
      <c r="C113" s="141" t="s">
        <v>543</v>
      </c>
      <c r="D113" s="141" t="s">
        <v>544</v>
      </c>
      <c r="E113" s="141">
        <v>404</v>
      </c>
      <c r="F113" s="151"/>
      <c r="G113" s="141" t="s">
        <v>545</v>
      </c>
      <c r="H113" s="141"/>
      <c r="I113" s="141"/>
      <c r="J113" s="141"/>
      <c r="K113" s="141"/>
      <c r="L113" s="141"/>
      <c r="M113" s="141"/>
      <c r="N113" s="141"/>
    </row>
    <row r="114" spans="1:14" ht="16" x14ac:dyDescent="0.2">
      <c r="A114" s="141" t="s">
        <v>245</v>
      </c>
      <c r="B114" s="141">
        <v>158</v>
      </c>
      <c r="C114" s="141" t="s">
        <v>331</v>
      </c>
      <c r="D114" s="141" t="s">
        <v>316</v>
      </c>
      <c r="E114" s="141">
        <v>25</v>
      </c>
      <c r="F114" s="141"/>
      <c r="G114" s="141" t="s">
        <v>546</v>
      </c>
      <c r="H114" s="141"/>
      <c r="I114" s="141" t="s">
        <v>342</v>
      </c>
      <c r="J114" s="141"/>
      <c r="K114" s="141"/>
      <c r="L114" s="141"/>
      <c r="M114" s="141"/>
      <c r="N114" s="141"/>
    </row>
    <row r="115" spans="1:14" ht="16" x14ac:dyDescent="0.2">
      <c r="A115" s="141" t="s">
        <v>245</v>
      </c>
      <c r="B115" s="141">
        <v>159</v>
      </c>
      <c r="C115" s="141" t="s">
        <v>332</v>
      </c>
      <c r="D115" s="141" t="s">
        <v>295</v>
      </c>
      <c r="E115" s="141">
        <v>84</v>
      </c>
      <c r="F115" s="141"/>
      <c r="G115" s="141" t="s">
        <v>547</v>
      </c>
      <c r="H115" s="141"/>
      <c r="I115" s="141"/>
      <c r="J115" s="141"/>
      <c r="K115" s="141"/>
      <c r="L115" s="141"/>
      <c r="M115" s="141"/>
      <c r="N115" s="141"/>
    </row>
    <row r="116" spans="1:14" ht="16" x14ac:dyDescent="0.2">
      <c r="A116" s="141" t="s">
        <v>245</v>
      </c>
      <c r="B116" s="141">
        <v>160</v>
      </c>
      <c r="C116" s="141" t="s">
        <v>333</v>
      </c>
      <c r="D116" s="141" t="s">
        <v>334</v>
      </c>
      <c r="E116" s="141">
        <v>2358</v>
      </c>
      <c r="F116" s="144"/>
      <c r="G116" s="141" t="s">
        <v>548</v>
      </c>
      <c r="H116" s="141"/>
      <c r="I116" s="141"/>
      <c r="J116" s="141"/>
      <c r="K116" s="141"/>
      <c r="L116" s="141"/>
      <c r="M116" s="141"/>
      <c r="N116" s="141"/>
    </row>
    <row r="117" spans="1:14" ht="16" x14ac:dyDescent="0.2">
      <c r="A117" s="141" t="s">
        <v>245</v>
      </c>
      <c r="B117" s="141">
        <v>161</v>
      </c>
      <c r="C117" s="141" t="s">
        <v>335</v>
      </c>
      <c r="D117" s="141" t="s">
        <v>336</v>
      </c>
      <c r="E117" s="141">
        <v>19.600000000000001</v>
      </c>
      <c r="F117" s="144"/>
      <c r="G117" s="141" t="s">
        <v>549</v>
      </c>
      <c r="H117" s="141"/>
      <c r="I117" s="141" t="s">
        <v>342</v>
      </c>
      <c r="J117" s="141"/>
      <c r="K117" s="141"/>
      <c r="L117" s="141"/>
      <c r="M117" s="141"/>
      <c r="N117" s="141"/>
    </row>
    <row r="118" spans="1:14" ht="16" x14ac:dyDescent="0.2">
      <c r="A118" s="141" t="s">
        <v>245</v>
      </c>
      <c r="B118" s="141">
        <v>164</v>
      </c>
      <c r="C118" s="141" t="s">
        <v>550</v>
      </c>
      <c r="D118" s="141" t="s">
        <v>270</v>
      </c>
      <c r="E118" s="141">
        <v>100</v>
      </c>
      <c r="F118" s="141"/>
      <c r="G118" s="141" t="s">
        <v>551</v>
      </c>
      <c r="H118" s="141"/>
      <c r="I118" s="141" t="s">
        <v>599</v>
      </c>
      <c r="J118" s="141"/>
      <c r="K118" s="141"/>
      <c r="L118" s="141"/>
      <c r="M118" s="141"/>
      <c r="N118" s="141"/>
    </row>
    <row r="119" spans="1:14" ht="16" x14ac:dyDescent="0.2">
      <c r="A119" s="141" t="s">
        <v>245</v>
      </c>
      <c r="B119" s="141">
        <v>165</v>
      </c>
      <c r="C119" s="141" t="s">
        <v>552</v>
      </c>
      <c r="D119" s="141" t="s">
        <v>250</v>
      </c>
      <c r="E119" s="141">
        <v>2</v>
      </c>
      <c r="F119" s="141"/>
      <c r="G119" s="141" t="s">
        <v>553</v>
      </c>
      <c r="H119" s="141"/>
      <c r="I119" s="141"/>
      <c r="J119" s="141"/>
      <c r="K119" s="141"/>
      <c r="L119" s="141"/>
      <c r="M119" s="141"/>
      <c r="N119" s="141"/>
    </row>
    <row r="120" spans="1:14" ht="16" x14ac:dyDescent="0.2">
      <c r="A120" s="141" t="s">
        <v>245</v>
      </c>
      <c r="B120" s="141">
        <v>166</v>
      </c>
      <c r="C120" s="141" t="s">
        <v>554</v>
      </c>
      <c r="D120" s="141" t="s">
        <v>254</v>
      </c>
      <c r="E120" s="141">
        <v>1</v>
      </c>
      <c r="F120" s="141"/>
      <c r="G120" s="141" t="s">
        <v>555</v>
      </c>
      <c r="H120" s="141"/>
      <c r="I120" s="141"/>
      <c r="J120" s="141"/>
      <c r="K120" s="141"/>
      <c r="L120" s="141"/>
      <c r="M120" s="141"/>
      <c r="N120" s="141"/>
    </row>
    <row r="121" spans="1:14" ht="16" x14ac:dyDescent="0.2">
      <c r="A121" s="141" t="s">
        <v>255</v>
      </c>
      <c r="B121" s="141">
        <v>170</v>
      </c>
      <c r="C121" s="141"/>
      <c r="D121" s="141" t="s">
        <v>261</v>
      </c>
      <c r="E121" s="141">
        <v>1</v>
      </c>
      <c r="F121" s="141"/>
      <c r="G121" s="141" t="s">
        <v>556</v>
      </c>
      <c r="H121" s="141"/>
      <c r="I121" s="141"/>
      <c r="J121" s="141"/>
      <c r="K121" s="141"/>
      <c r="L121" s="141"/>
      <c r="M121" s="141"/>
      <c r="N121" s="141"/>
    </row>
    <row r="122" spans="1:14" ht="16" x14ac:dyDescent="0.2">
      <c r="A122" s="141" t="s">
        <v>245</v>
      </c>
      <c r="B122" s="141">
        <v>171</v>
      </c>
      <c r="C122" s="141" t="s">
        <v>557</v>
      </c>
      <c r="D122" s="141" t="s">
        <v>330</v>
      </c>
      <c r="E122" s="141">
        <v>0.08</v>
      </c>
      <c r="F122" s="151">
        <f>1/(1+E17/100)-1</f>
        <v>-8.2568807339449601E-2</v>
      </c>
      <c r="G122" s="141" t="s">
        <v>558</v>
      </c>
      <c r="H122" s="141"/>
      <c r="I122" s="141"/>
      <c r="J122" s="141"/>
      <c r="K122" s="141"/>
      <c r="L122" s="141"/>
      <c r="M122" s="141"/>
      <c r="N122" s="141"/>
    </row>
    <row r="123" spans="1:14" ht="16" x14ac:dyDescent="0.2">
      <c r="A123" s="141" t="s">
        <v>245</v>
      </c>
      <c r="B123" s="141">
        <v>172</v>
      </c>
      <c r="C123" s="141" t="s">
        <v>559</v>
      </c>
      <c r="D123" s="141" t="s">
        <v>261</v>
      </c>
      <c r="E123" s="141">
        <v>1</v>
      </c>
      <c r="G123" s="141" t="s">
        <v>560</v>
      </c>
      <c r="H123" s="141"/>
      <c r="I123" s="141"/>
      <c r="J123" s="141"/>
      <c r="K123" s="141"/>
      <c r="L123" s="141"/>
      <c r="M123" s="141"/>
      <c r="N123" s="141"/>
    </row>
    <row r="124" spans="1:14" ht="16" x14ac:dyDescent="0.2">
      <c r="A124" s="141" t="s">
        <v>245</v>
      </c>
      <c r="B124" s="141">
        <v>173</v>
      </c>
      <c r="C124" s="141" t="s">
        <v>561</v>
      </c>
      <c r="D124" s="141" t="s">
        <v>562</v>
      </c>
      <c r="E124" s="141">
        <v>1.0900000000000001</v>
      </c>
      <c r="F124" s="141"/>
      <c r="G124" s="141" t="s">
        <v>563</v>
      </c>
      <c r="H124" s="141"/>
      <c r="I124" s="141"/>
      <c r="J124" s="141"/>
      <c r="K124" s="141"/>
      <c r="L124" s="141"/>
      <c r="M124" s="141"/>
      <c r="N124" s="141"/>
    </row>
    <row r="125" spans="1:14" ht="16" x14ac:dyDescent="0.2">
      <c r="A125" s="141" t="s">
        <v>245</v>
      </c>
      <c r="B125" s="141">
        <v>174</v>
      </c>
      <c r="C125" s="141" t="s">
        <v>564</v>
      </c>
      <c r="D125" s="141" t="s">
        <v>261</v>
      </c>
      <c r="E125" s="141">
        <v>1</v>
      </c>
      <c r="F125" s="141"/>
      <c r="G125" s="141" t="s">
        <v>565</v>
      </c>
      <c r="H125" s="141"/>
      <c r="I125" s="141"/>
      <c r="J125" s="141"/>
      <c r="K125" s="141"/>
      <c r="L125" s="141"/>
      <c r="M125" s="141"/>
      <c r="N125" s="141"/>
    </row>
    <row r="126" spans="1:14" ht="16" x14ac:dyDescent="0.2">
      <c r="A126" s="141" t="s">
        <v>245</v>
      </c>
      <c r="B126" s="141">
        <v>175</v>
      </c>
      <c r="C126" s="141" t="s">
        <v>566</v>
      </c>
      <c r="D126" s="141" t="s">
        <v>567</v>
      </c>
      <c r="E126" s="141">
        <v>0.31</v>
      </c>
      <c r="F126" s="151">
        <f>1/(1+E18/100)-1</f>
        <v>-0.30555555555555558</v>
      </c>
      <c r="G126" s="141" t="s">
        <v>568</v>
      </c>
      <c r="H126" s="141"/>
      <c r="I126" s="141"/>
      <c r="J126" s="141"/>
      <c r="K126" s="141"/>
      <c r="L126" s="141"/>
      <c r="M126" s="141"/>
      <c r="N126" s="141"/>
    </row>
    <row r="127" spans="1:14" ht="16" x14ac:dyDescent="0.2">
      <c r="A127" s="141" t="s">
        <v>245</v>
      </c>
      <c r="B127" s="141">
        <v>176</v>
      </c>
      <c r="C127" s="141" t="s">
        <v>569</v>
      </c>
      <c r="D127" s="141" t="s">
        <v>261</v>
      </c>
      <c r="E127" s="141">
        <v>1</v>
      </c>
      <c r="F127" s="141"/>
      <c r="G127" s="141" t="s">
        <v>570</v>
      </c>
      <c r="I127" s="141"/>
      <c r="J127" s="141"/>
      <c r="K127" s="141"/>
      <c r="L127" s="141"/>
      <c r="M127" s="141"/>
      <c r="N127" s="141"/>
    </row>
    <row r="128" spans="1:14" ht="16" x14ac:dyDescent="0.2">
      <c r="A128" s="141" t="s">
        <v>245</v>
      </c>
      <c r="B128" s="141">
        <v>177</v>
      </c>
      <c r="C128" s="141" t="s">
        <v>571</v>
      </c>
      <c r="D128" s="141" t="s">
        <v>572</v>
      </c>
      <c r="E128" s="141">
        <v>1.44</v>
      </c>
      <c r="F128" s="141"/>
      <c r="G128" s="141" t="s">
        <v>253</v>
      </c>
      <c r="H128" s="141"/>
      <c r="I128" s="141"/>
      <c r="J128" s="141"/>
      <c r="K128" s="141"/>
      <c r="L128" s="141"/>
      <c r="M128" s="141"/>
      <c r="N128" s="141"/>
    </row>
    <row r="129" spans="1:14" ht="16" x14ac:dyDescent="0.2">
      <c r="A129" s="141" t="s">
        <v>245</v>
      </c>
      <c r="B129" s="141">
        <v>178</v>
      </c>
      <c r="C129" s="141" t="s">
        <v>573</v>
      </c>
      <c r="D129" s="141" t="s">
        <v>387</v>
      </c>
      <c r="E129" s="141">
        <v>1985</v>
      </c>
      <c r="F129" s="141"/>
      <c r="G129" s="141" t="s">
        <v>574</v>
      </c>
      <c r="H129" s="141"/>
      <c r="I129" s="141"/>
      <c r="J129" s="141"/>
      <c r="K129" s="141"/>
      <c r="L129" s="141"/>
      <c r="M129" s="141"/>
      <c r="N129" s="141"/>
    </row>
    <row r="130" spans="1:14" ht="16" x14ac:dyDescent="0.2">
      <c r="A130" s="141" t="s">
        <v>245</v>
      </c>
      <c r="B130" s="141">
        <v>179</v>
      </c>
      <c r="C130" s="141" t="s">
        <v>575</v>
      </c>
      <c r="D130" s="141" t="s">
        <v>576</v>
      </c>
      <c r="E130" s="141">
        <v>146</v>
      </c>
      <c r="F130" s="141"/>
      <c r="G130" s="141" t="s">
        <v>577</v>
      </c>
      <c r="H130" s="141"/>
      <c r="I130" s="141"/>
      <c r="J130" s="141"/>
      <c r="K130" s="141"/>
      <c r="L130" s="141"/>
      <c r="M130" s="141"/>
      <c r="N130" s="141"/>
    </row>
    <row r="131" spans="1:14" ht="16" x14ac:dyDescent="0.2">
      <c r="A131" s="141" t="s">
        <v>245</v>
      </c>
      <c r="B131" s="141">
        <v>183</v>
      </c>
      <c r="C131" s="141" t="s">
        <v>578</v>
      </c>
      <c r="D131" s="141" t="s">
        <v>299</v>
      </c>
      <c r="E131" s="141">
        <v>9</v>
      </c>
      <c r="F131" s="141">
        <f>E17</f>
        <v>9</v>
      </c>
      <c r="G131" s="141" t="s">
        <v>579</v>
      </c>
      <c r="H131" s="141"/>
      <c r="I131" s="141"/>
      <c r="J131" s="141"/>
      <c r="K131" s="141"/>
      <c r="L131" s="141"/>
      <c r="M131" s="141"/>
      <c r="N131" s="141"/>
    </row>
    <row r="132" spans="1:14" ht="16" x14ac:dyDescent="0.2">
      <c r="A132" s="141" t="s">
        <v>245</v>
      </c>
      <c r="B132" s="141">
        <v>184</v>
      </c>
      <c r="C132" s="141" t="s">
        <v>580</v>
      </c>
      <c r="D132" s="141" t="s">
        <v>402</v>
      </c>
      <c r="E132" s="141">
        <v>44</v>
      </c>
      <c r="F132" s="141">
        <f>E18</f>
        <v>44</v>
      </c>
      <c r="G132" s="141" t="s">
        <v>581</v>
      </c>
      <c r="H132" s="141"/>
      <c r="I132" s="141"/>
      <c r="J132" s="141"/>
      <c r="K132" s="141"/>
      <c r="L132" s="141"/>
      <c r="M132" s="141"/>
      <c r="N132" s="141"/>
    </row>
    <row r="133" spans="1:14" ht="16" x14ac:dyDescent="0.2">
      <c r="A133" s="141" t="s">
        <v>245</v>
      </c>
      <c r="B133" s="141">
        <v>185</v>
      </c>
      <c r="C133" s="141" t="s">
        <v>285</v>
      </c>
      <c r="D133" s="141" t="s">
        <v>319</v>
      </c>
      <c r="E133" s="141">
        <v>6</v>
      </c>
      <c r="F133" s="141">
        <f>E45</f>
        <v>6</v>
      </c>
      <c r="G133" s="141" t="s">
        <v>582</v>
      </c>
      <c r="H133" s="141"/>
      <c r="I133" s="141"/>
      <c r="J133" s="141"/>
      <c r="K133" s="141"/>
      <c r="L133" s="141"/>
      <c r="M133" s="141"/>
      <c r="N133" s="141"/>
    </row>
    <row r="134" spans="1:14" ht="16" x14ac:dyDescent="0.2">
      <c r="A134" s="141" t="s">
        <v>245</v>
      </c>
      <c r="B134" s="141">
        <v>186</v>
      </c>
      <c r="C134" s="141" t="s">
        <v>583</v>
      </c>
      <c r="D134" s="141" t="s">
        <v>584</v>
      </c>
      <c r="E134" s="141">
        <v>-24</v>
      </c>
      <c r="F134" s="141">
        <f>E46</f>
        <v>24</v>
      </c>
      <c r="G134" s="141" t="s">
        <v>585</v>
      </c>
      <c r="H134" s="141"/>
      <c r="I134" s="141"/>
      <c r="J134" s="141"/>
      <c r="K134" s="141"/>
      <c r="L134" s="141"/>
      <c r="M134" s="141"/>
      <c r="N134" s="141"/>
    </row>
    <row r="135" spans="1:14" ht="16" x14ac:dyDescent="0.2">
      <c r="A135" s="141" t="s">
        <v>271</v>
      </c>
      <c r="B135" s="141">
        <v>187</v>
      </c>
      <c r="C135" s="141" t="s">
        <v>586</v>
      </c>
      <c r="D135" s="141" t="s">
        <v>261</v>
      </c>
      <c r="E135" s="141">
        <v>1</v>
      </c>
      <c r="F135" s="141"/>
      <c r="G135" s="141" t="s">
        <v>587</v>
      </c>
      <c r="H135" s="141"/>
      <c r="I135" s="141"/>
      <c r="J135" s="141"/>
      <c r="K135" s="141"/>
      <c r="L135" s="141"/>
      <c r="M135" s="141"/>
      <c r="N135" s="141"/>
    </row>
    <row r="136" spans="1:14" ht="16" x14ac:dyDescent="0.2">
      <c r="A136" s="141" t="s">
        <v>245</v>
      </c>
      <c r="B136" s="141">
        <v>188</v>
      </c>
      <c r="C136" s="141" t="s">
        <v>588</v>
      </c>
      <c r="D136" s="141" t="s">
        <v>249</v>
      </c>
      <c r="E136" s="141"/>
      <c r="F136" s="141"/>
      <c r="G136" s="141" t="s">
        <v>589</v>
      </c>
      <c r="H136" s="141"/>
      <c r="I136" s="141"/>
      <c r="J136" s="141"/>
      <c r="K136" s="141"/>
      <c r="L136" s="141"/>
      <c r="M136" s="141"/>
      <c r="N136" s="141"/>
    </row>
    <row r="137" spans="1:14" ht="16" x14ac:dyDescent="0.2">
      <c r="A137" s="141" t="s">
        <v>310</v>
      </c>
      <c r="B137" s="141">
        <v>189</v>
      </c>
      <c r="C137" s="141" t="s">
        <v>590</v>
      </c>
      <c r="D137" s="141" t="s">
        <v>248</v>
      </c>
      <c r="E137" s="141">
        <v>2</v>
      </c>
      <c r="F137" s="141"/>
      <c r="G137" s="141" t="s">
        <v>591</v>
      </c>
      <c r="H137" s="141"/>
      <c r="I137" s="141"/>
      <c r="J137" s="141"/>
      <c r="K137" s="141"/>
      <c r="L137" s="141"/>
      <c r="M137" s="141"/>
      <c r="N137" s="141"/>
    </row>
    <row r="138" spans="1:14" ht="16" x14ac:dyDescent="0.2">
      <c r="A138" s="141" t="s">
        <v>245</v>
      </c>
      <c r="B138" s="141">
        <v>190</v>
      </c>
      <c r="C138" s="141" t="s">
        <v>337</v>
      </c>
      <c r="D138" s="141" t="s">
        <v>249</v>
      </c>
      <c r="E138" s="141"/>
      <c r="F138" s="141"/>
      <c r="G138" s="141" t="s">
        <v>338</v>
      </c>
      <c r="H138" s="141"/>
      <c r="I138" s="141"/>
      <c r="J138" s="141"/>
      <c r="K138" s="141"/>
      <c r="L138" s="141"/>
      <c r="M138" s="141"/>
      <c r="N138" s="141"/>
    </row>
    <row r="139" spans="1:14" ht="16" x14ac:dyDescent="0.2">
      <c r="A139" s="141" t="s">
        <v>271</v>
      </c>
      <c r="B139" s="141">
        <v>191</v>
      </c>
      <c r="C139" s="141" t="s">
        <v>339</v>
      </c>
      <c r="D139" s="141" t="s">
        <v>261</v>
      </c>
      <c r="E139" s="141">
        <v>1</v>
      </c>
      <c r="F139" s="141"/>
      <c r="G139" s="141" t="s">
        <v>340</v>
      </c>
      <c r="H139" s="141"/>
      <c r="I139" s="141"/>
      <c r="J139" s="141"/>
      <c r="K139" s="141"/>
      <c r="L139" s="141"/>
      <c r="M139" s="141"/>
      <c r="N139" s="141"/>
    </row>
    <row r="140" spans="1:14" ht="16" x14ac:dyDescent="0.2">
      <c r="A140" s="141"/>
      <c r="B140" s="141"/>
      <c r="C140" s="141"/>
      <c r="D140" s="141"/>
      <c r="E140" s="141"/>
      <c r="F140" s="141"/>
      <c r="G140" s="141"/>
      <c r="H140" s="141"/>
      <c r="I140" s="141"/>
      <c r="J140" s="141"/>
      <c r="K140" s="141"/>
      <c r="L140" s="141"/>
      <c r="M140" s="141"/>
      <c r="N140" s="141"/>
    </row>
    <row r="141" spans="1:14" ht="16" x14ac:dyDescent="0.2">
      <c r="A141" s="141"/>
      <c r="B141" s="141"/>
      <c r="C141" s="141"/>
      <c r="D141" s="141"/>
      <c r="E141" s="141"/>
      <c r="F141" s="141"/>
      <c r="G141" s="141"/>
      <c r="H141" s="141"/>
      <c r="I141" s="141"/>
      <c r="J141" s="141"/>
      <c r="K141" s="141"/>
      <c r="L141" s="141"/>
      <c r="M141" s="141"/>
      <c r="N141" s="141"/>
    </row>
    <row r="142" spans="1:14" ht="16" x14ac:dyDescent="0.2">
      <c r="A142" s="141"/>
      <c r="B142" s="141"/>
      <c r="C142" s="141"/>
      <c r="D142" s="141"/>
      <c r="E142" s="141"/>
      <c r="F142" s="141"/>
      <c r="G142" s="141"/>
      <c r="H142" s="143"/>
      <c r="I142" s="141"/>
      <c r="J142" s="141"/>
      <c r="K142" s="141"/>
      <c r="L142" s="141"/>
      <c r="M142" s="141"/>
      <c r="N142" s="141"/>
    </row>
    <row r="143" spans="1:14" ht="16" x14ac:dyDescent="0.2">
      <c r="A143" s="141"/>
      <c r="B143" s="141"/>
      <c r="C143" s="141"/>
      <c r="D143" s="141"/>
      <c r="E143" s="141"/>
      <c r="F143" s="141"/>
      <c r="G143" s="141"/>
      <c r="H143" s="141"/>
      <c r="I143" s="141"/>
      <c r="J143" s="141"/>
      <c r="K143" s="141"/>
      <c r="L143" s="141"/>
      <c r="M143" s="141"/>
      <c r="N143" s="141"/>
    </row>
    <row r="144" spans="1:14" ht="16" x14ac:dyDescent="0.2">
      <c r="A144" s="141"/>
      <c r="B144" s="141"/>
      <c r="C144" s="141"/>
      <c r="D144" s="141"/>
      <c r="E144" s="141"/>
      <c r="F144" s="144"/>
      <c r="G144" s="141"/>
      <c r="H144" s="141"/>
      <c r="I144" s="141"/>
      <c r="J144" s="141"/>
      <c r="K144" s="141"/>
      <c r="L144" s="141"/>
      <c r="M144" s="141"/>
      <c r="N144" s="141"/>
    </row>
    <row r="145" spans="1:14" ht="16" x14ac:dyDescent="0.2">
      <c r="A145" s="141"/>
      <c r="B145" s="141"/>
      <c r="C145" s="141"/>
      <c r="D145" s="141"/>
      <c r="E145" s="141"/>
      <c r="F145" s="141"/>
      <c r="G145" s="141"/>
      <c r="H145" s="141"/>
      <c r="I145" s="141"/>
      <c r="J145" s="141"/>
      <c r="K145" s="141"/>
      <c r="L145" s="141"/>
      <c r="M145" s="141"/>
      <c r="N145" s="141"/>
    </row>
    <row r="146" spans="1:14" ht="16" x14ac:dyDescent="0.2">
      <c r="A146" s="141"/>
      <c r="B146" s="141"/>
      <c r="C146" s="141"/>
      <c r="D146" s="141"/>
      <c r="E146" s="141"/>
      <c r="F146" s="144"/>
      <c r="G146" s="141"/>
      <c r="H146" s="141"/>
      <c r="I146" s="141"/>
      <c r="J146" s="141"/>
      <c r="K146" s="141"/>
      <c r="L146" s="141"/>
      <c r="M146" s="141"/>
      <c r="N146" s="141"/>
    </row>
    <row r="147" spans="1:14" ht="16" x14ac:dyDescent="0.2">
      <c r="A147" s="141"/>
      <c r="B147" s="141"/>
      <c r="C147" s="141"/>
      <c r="D147" s="141"/>
      <c r="E147" s="141"/>
      <c r="F147" s="141"/>
      <c r="G147" s="141"/>
      <c r="H147" s="141"/>
      <c r="I147" s="141"/>
      <c r="J147" s="141"/>
      <c r="K147" s="141"/>
      <c r="L147" s="141"/>
      <c r="M147" s="141"/>
      <c r="N147" s="141"/>
    </row>
    <row r="148" spans="1:14" ht="16" x14ac:dyDescent="0.2">
      <c r="A148" s="141"/>
      <c r="B148" s="141"/>
      <c r="C148" s="141"/>
      <c r="D148" s="141"/>
      <c r="E148" s="141"/>
      <c r="F148" s="141"/>
      <c r="G148" s="141"/>
      <c r="H148" s="141"/>
      <c r="I148" s="141"/>
      <c r="J148" s="141"/>
      <c r="K148" s="141"/>
      <c r="L148" s="141"/>
      <c r="M148" s="141"/>
      <c r="N148" s="141"/>
    </row>
    <row r="149" spans="1:14" ht="16" x14ac:dyDescent="0.2">
      <c r="A149" s="141"/>
      <c r="B149" s="141"/>
      <c r="C149" s="141"/>
      <c r="D149" s="141"/>
      <c r="E149" s="141"/>
      <c r="F149" s="141"/>
      <c r="G149" s="141"/>
      <c r="H149" s="141"/>
      <c r="I149" s="141"/>
      <c r="J149" s="141"/>
      <c r="K149" s="141"/>
      <c r="L149" s="141"/>
      <c r="M149" s="141"/>
      <c r="N149" s="141"/>
    </row>
    <row r="150" spans="1:14" ht="16" x14ac:dyDescent="0.2">
      <c r="A150" s="141"/>
      <c r="B150" s="141"/>
      <c r="C150" s="141"/>
      <c r="D150" s="141"/>
      <c r="E150" s="141"/>
      <c r="F150" s="141"/>
      <c r="G150" s="141"/>
      <c r="H150" s="141"/>
      <c r="I150" s="141"/>
      <c r="J150" s="141"/>
      <c r="K150" s="141"/>
      <c r="L150" s="141"/>
      <c r="M150" s="141"/>
      <c r="N150" s="141"/>
    </row>
    <row r="151" spans="1:14" ht="16" x14ac:dyDescent="0.2">
      <c r="A151" s="141"/>
      <c r="B151" s="141"/>
      <c r="C151" s="141"/>
      <c r="D151" s="141"/>
      <c r="E151" s="141"/>
      <c r="F151" s="141"/>
      <c r="G151" s="141"/>
      <c r="H151" s="141"/>
      <c r="I151" s="141"/>
      <c r="J151" s="141"/>
      <c r="K151" s="141"/>
      <c r="L151" s="141"/>
      <c r="M151" s="141"/>
      <c r="N151" s="141"/>
    </row>
    <row r="152" spans="1:14" ht="16" x14ac:dyDescent="0.2">
      <c r="A152" s="141"/>
      <c r="B152" s="141"/>
      <c r="C152" s="141"/>
      <c r="D152" s="141"/>
      <c r="E152" s="141"/>
      <c r="F152" s="141"/>
      <c r="G152" s="141"/>
      <c r="I152" s="141"/>
      <c r="J152" s="141"/>
      <c r="K152" s="141"/>
      <c r="L152" s="141"/>
      <c r="M152" s="141"/>
      <c r="N152" s="141"/>
    </row>
    <row r="153" spans="1:14" ht="16" x14ac:dyDescent="0.2">
      <c r="A153" s="141"/>
      <c r="B153" s="141"/>
      <c r="C153" s="141"/>
      <c r="D153" s="141"/>
      <c r="E153" s="141"/>
      <c r="F153" s="141"/>
      <c r="G153" s="141"/>
      <c r="H153" s="141"/>
      <c r="I153" s="141"/>
      <c r="J153" s="141"/>
      <c r="K153" s="141"/>
      <c r="L153" s="141"/>
      <c r="M153" s="141"/>
      <c r="N153" s="141"/>
    </row>
    <row r="154" spans="1:14" ht="16" x14ac:dyDescent="0.2">
      <c r="A154" s="141"/>
      <c r="B154" s="141"/>
      <c r="C154" s="141"/>
      <c r="D154" s="141"/>
      <c r="E154" s="141"/>
      <c r="F154" s="141"/>
      <c r="G154" s="141"/>
      <c r="H154" s="143"/>
      <c r="I154" s="141"/>
      <c r="J154" s="141"/>
      <c r="K154" s="141"/>
      <c r="L154" s="141"/>
      <c r="M154" s="141"/>
      <c r="N154" s="141"/>
    </row>
    <row r="155" spans="1:14" ht="16" x14ac:dyDescent="0.2">
      <c r="A155" s="141"/>
      <c r="B155" s="141"/>
      <c r="C155" s="141"/>
      <c r="D155" s="141"/>
      <c r="E155" s="141"/>
      <c r="F155" s="144"/>
      <c r="G155" s="141"/>
      <c r="H155" s="141"/>
      <c r="I155" s="141"/>
      <c r="J155" s="141"/>
      <c r="K155" s="141"/>
      <c r="L155" s="141"/>
      <c r="M155" s="141"/>
      <c r="N155" s="141"/>
    </row>
    <row r="156" spans="1:14" ht="16" x14ac:dyDescent="0.2">
      <c r="A156" s="141"/>
      <c r="B156" s="141"/>
      <c r="C156" s="141"/>
      <c r="D156" s="141"/>
      <c r="E156" s="141"/>
      <c r="F156" s="141"/>
      <c r="G156" s="141"/>
      <c r="H156" s="141"/>
      <c r="I156" s="141"/>
      <c r="J156" s="141"/>
      <c r="K156" s="141"/>
      <c r="L156" s="141"/>
      <c r="M156" s="141"/>
      <c r="N156" s="141"/>
    </row>
    <row r="157" spans="1:14" ht="16" x14ac:dyDescent="0.2">
      <c r="A157" s="141"/>
      <c r="B157" s="141"/>
      <c r="C157" s="141"/>
      <c r="D157" s="141"/>
      <c r="E157" s="141"/>
      <c r="F157" s="144"/>
      <c r="G157" s="141"/>
      <c r="H157" s="141"/>
      <c r="I157" s="141"/>
      <c r="J157" s="141"/>
      <c r="K157" s="141"/>
      <c r="L157" s="141"/>
      <c r="M157" s="141"/>
      <c r="N157" s="141"/>
    </row>
    <row r="158" spans="1:14" ht="16" x14ac:dyDescent="0.2">
      <c r="A158" s="141"/>
      <c r="B158" s="141"/>
      <c r="C158" s="141"/>
      <c r="D158" s="141"/>
      <c r="E158" s="141"/>
      <c r="F158" s="141"/>
      <c r="G158" s="141"/>
      <c r="H158" s="141"/>
      <c r="I158" s="141"/>
      <c r="J158" s="141"/>
      <c r="K158" s="141"/>
      <c r="L158" s="141"/>
      <c r="M158" s="141"/>
      <c r="N158" s="141"/>
    </row>
    <row r="159" spans="1:14" ht="16" x14ac:dyDescent="0.2">
      <c r="A159" s="141"/>
      <c r="B159" s="141"/>
      <c r="C159" s="141"/>
      <c r="D159" s="141"/>
      <c r="E159" s="141"/>
      <c r="F159" s="141"/>
      <c r="G159" s="141"/>
      <c r="H159" s="141"/>
      <c r="I159" s="141"/>
      <c r="J159" s="141"/>
      <c r="K159" s="141"/>
      <c r="L159" s="141"/>
      <c r="M159" s="141"/>
      <c r="N159" s="141"/>
    </row>
    <row r="160" spans="1:14" ht="16" x14ac:dyDescent="0.2">
      <c r="A160" s="141"/>
      <c r="B160" s="141"/>
      <c r="C160" s="141"/>
      <c r="D160" s="141"/>
      <c r="E160" s="141"/>
      <c r="F160" s="141"/>
      <c r="G160" s="141"/>
      <c r="H160" s="141"/>
      <c r="I160" s="141"/>
      <c r="J160" s="141"/>
      <c r="K160" s="141"/>
      <c r="L160" s="141"/>
      <c r="M160" s="141"/>
      <c r="N160" s="141"/>
    </row>
    <row r="161" spans="1:14" ht="16" x14ac:dyDescent="0.2">
      <c r="A161" s="141"/>
      <c r="B161" s="141"/>
      <c r="C161" s="141"/>
      <c r="D161" s="141"/>
      <c r="E161" s="141"/>
      <c r="F161" s="141"/>
      <c r="G161" s="141"/>
      <c r="H161" s="141"/>
      <c r="I161" s="141"/>
      <c r="J161" s="141"/>
      <c r="K161" s="141"/>
      <c r="L161" s="141"/>
      <c r="M161" s="141"/>
      <c r="N161" s="141"/>
    </row>
    <row r="162" spans="1:14" ht="16" x14ac:dyDescent="0.2">
      <c r="A162" s="141"/>
      <c r="B162" s="141"/>
      <c r="C162" s="141"/>
      <c r="D162" s="141"/>
      <c r="E162" s="141"/>
      <c r="F162" s="141"/>
      <c r="G162" s="141"/>
      <c r="H162" s="141"/>
      <c r="I162" s="141"/>
      <c r="J162" s="141"/>
      <c r="K162" s="141"/>
      <c r="L162" s="141"/>
      <c r="M162" s="141"/>
      <c r="N162" s="141"/>
    </row>
    <row r="163" spans="1:14" ht="16" x14ac:dyDescent="0.2">
      <c r="A163" s="141"/>
      <c r="B163" s="141"/>
      <c r="C163" s="141"/>
      <c r="D163" s="141"/>
      <c r="E163" s="141"/>
      <c r="F163" s="141"/>
      <c r="G163" s="141"/>
      <c r="H163" s="141"/>
      <c r="I163" s="141"/>
      <c r="J163" s="141"/>
      <c r="K163" s="141"/>
      <c r="L163" s="141"/>
      <c r="M163" s="141"/>
      <c r="N163" s="141"/>
    </row>
    <row r="164" spans="1:14" ht="16" x14ac:dyDescent="0.2">
      <c r="A164" s="141"/>
      <c r="B164" s="141"/>
      <c r="C164" s="141"/>
      <c r="D164" s="141"/>
      <c r="E164" s="141"/>
      <c r="F164" s="141"/>
      <c r="G164" s="141"/>
      <c r="H164" s="141"/>
      <c r="I164" s="141"/>
      <c r="J164" s="141"/>
      <c r="K164" s="141"/>
      <c r="L164" s="141"/>
      <c r="M164" s="141"/>
      <c r="N164" s="141"/>
    </row>
    <row r="165" spans="1:14" ht="16" x14ac:dyDescent="0.2">
      <c r="A165" s="141"/>
      <c r="B165" s="141"/>
      <c r="C165" s="141"/>
      <c r="D165" s="141"/>
      <c r="E165" s="141"/>
      <c r="F165" s="141"/>
      <c r="G165" s="141"/>
      <c r="H165" s="141"/>
      <c r="I165" s="141"/>
      <c r="J165" s="141"/>
      <c r="K165" s="141"/>
      <c r="L165" s="141"/>
      <c r="M165" s="141"/>
      <c r="N165" s="141"/>
    </row>
    <row r="166" spans="1:14" ht="16" x14ac:dyDescent="0.2">
      <c r="A166" s="141"/>
      <c r="B166" s="141"/>
      <c r="C166" s="141"/>
      <c r="D166" s="141"/>
      <c r="E166" s="141"/>
      <c r="F166" s="141"/>
      <c r="G166" s="141"/>
      <c r="H166" s="141"/>
      <c r="I166" s="141"/>
      <c r="J166" s="141"/>
      <c r="K166" s="141"/>
      <c r="L166" s="141"/>
      <c r="M166" s="141"/>
      <c r="N166" s="141"/>
    </row>
    <row r="167" spans="1:14" ht="16" x14ac:dyDescent="0.2">
      <c r="A167" s="141"/>
      <c r="B167" s="141"/>
      <c r="C167" s="141"/>
      <c r="D167" s="141"/>
      <c r="E167" s="141"/>
      <c r="F167" s="141"/>
      <c r="G167" s="141"/>
      <c r="H167" s="141"/>
      <c r="I167" s="141"/>
      <c r="J167" s="141"/>
      <c r="K167" s="141"/>
      <c r="L167" s="141"/>
      <c r="M167" s="141"/>
      <c r="N167" s="141"/>
    </row>
    <row r="168" spans="1:14" ht="16" x14ac:dyDescent="0.2">
      <c r="A168" s="141"/>
      <c r="B168" s="141"/>
      <c r="C168" s="141"/>
      <c r="D168" s="141"/>
      <c r="E168" s="141"/>
      <c r="F168" s="141"/>
      <c r="G168" s="141"/>
      <c r="H168" s="141"/>
      <c r="I168" s="141"/>
      <c r="J168" s="141"/>
      <c r="K168" s="141"/>
      <c r="L168" s="141"/>
      <c r="M168" s="141"/>
      <c r="N168" s="141"/>
    </row>
    <row r="169" spans="1:14" ht="16" x14ac:dyDescent="0.2">
      <c r="A169" s="141"/>
      <c r="B169" s="141"/>
      <c r="C169" s="141"/>
      <c r="D169" s="141"/>
      <c r="E169" s="141"/>
      <c r="F169" s="145"/>
      <c r="G169" s="141"/>
      <c r="H169" s="141"/>
      <c r="I169" s="141"/>
      <c r="J169" s="141"/>
      <c r="K169" s="141"/>
      <c r="L169" s="141"/>
      <c r="M169" s="141"/>
      <c r="N169" s="141"/>
    </row>
    <row r="170" spans="1:14" ht="16" x14ac:dyDescent="0.2">
      <c r="A170" s="141"/>
      <c r="B170" s="141"/>
      <c r="C170" s="141"/>
      <c r="D170" s="141"/>
      <c r="E170" s="141"/>
      <c r="F170" s="145"/>
      <c r="G170" s="141"/>
      <c r="H170" s="141"/>
      <c r="I170" s="141"/>
      <c r="J170" s="141"/>
      <c r="K170" s="141"/>
      <c r="L170" s="141"/>
      <c r="M170" s="141"/>
      <c r="N170" s="141"/>
    </row>
    <row r="171" spans="1:14" ht="16" x14ac:dyDescent="0.2">
      <c r="A171" s="141"/>
      <c r="B171" s="141"/>
      <c r="C171" s="141"/>
      <c r="D171" s="141"/>
      <c r="E171" s="141"/>
      <c r="G171" s="141"/>
      <c r="H171" s="141"/>
      <c r="I171" s="141"/>
      <c r="J171" s="141"/>
      <c r="K171" s="141"/>
      <c r="L171" s="141"/>
      <c r="M171" s="141"/>
      <c r="N171" s="141"/>
    </row>
    <row r="172" spans="1:14" ht="16" x14ac:dyDescent="0.2">
      <c r="A172" s="141"/>
      <c r="B172" s="141"/>
      <c r="C172" s="141"/>
      <c r="D172" s="141"/>
      <c r="E172" s="141"/>
      <c r="F172" s="141"/>
      <c r="G172" s="141"/>
      <c r="H172" s="141"/>
      <c r="I172" s="141"/>
      <c r="J172" s="141"/>
      <c r="K172" s="141"/>
      <c r="L172" s="141"/>
      <c r="M172" s="141"/>
      <c r="N172" s="141"/>
    </row>
    <row r="173" spans="1:14" ht="16" x14ac:dyDescent="0.2">
      <c r="A173" s="141"/>
      <c r="B173" s="141"/>
      <c r="C173" s="141"/>
      <c r="D173" s="141"/>
      <c r="E173" s="141"/>
      <c r="F173" s="141"/>
      <c r="G173" s="141"/>
      <c r="H173" s="141"/>
      <c r="J173" s="141"/>
      <c r="K173" s="141"/>
      <c r="L173" s="141"/>
      <c r="M173" s="141"/>
      <c r="N173" s="141"/>
    </row>
    <row r="174" spans="1:14" ht="16" x14ac:dyDescent="0.2">
      <c r="A174" s="141"/>
      <c r="B174" s="141"/>
      <c r="C174" s="141"/>
      <c r="D174" s="141"/>
      <c r="E174" s="141"/>
      <c r="F174" s="143"/>
      <c r="G174" s="141"/>
      <c r="H174" s="141"/>
      <c r="I174"/>
      <c r="J174" s="141"/>
      <c r="K174" s="141"/>
      <c r="L174" s="141"/>
      <c r="M174" s="141"/>
      <c r="N174" s="141"/>
    </row>
    <row r="175" spans="1:14" ht="16" x14ac:dyDescent="0.2">
      <c r="A175" s="141"/>
      <c r="B175" s="141"/>
      <c r="C175" s="141"/>
      <c r="D175" s="141"/>
      <c r="E175" s="141"/>
      <c r="F175" s="141"/>
      <c r="G175" s="141"/>
      <c r="H175" s="141"/>
      <c r="I175" s="141"/>
      <c r="J175" s="141"/>
      <c r="K175" s="141"/>
      <c r="L175" s="141"/>
      <c r="M175" s="141"/>
      <c r="N175" s="141"/>
    </row>
    <row r="176" spans="1:14" ht="16" x14ac:dyDescent="0.2">
      <c r="A176" s="141"/>
      <c r="B176" s="141"/>
      <c r="C176" s="141"/>
      <c r="D176" s="141"/>
      <c r="E176" s="141"/>
      <c r="F176" s="141"/>
      <c r="G176" s="141"/>
      <c r="H176" s="141"/>
      <c r="I176" s="141"/>
      <c r="J176" s="141"/>
      <c r="K176" s="141"/>
      <c r="L176" s="141"/>
      <c r="M176" s="141"/>
      <c r="N176" s="141"/>
    </row>
    <row r="177" spans="1:14" ht="16" x14ac:dyDescent="0.2">
      <c r="A177" s="141"/>
      <c r="B177" s="141"/>
      <c r="C177" s="141"/>
      <c r="D177" s="141"/>
      <c r="E177" s="141"/>
      <c r="F177" s="141"/>
      <c r="G177" s="141"/>
      <c r="H177" s="141"/>
      <c r="I177" s="141"/>
      <c r="J177" s="141"/>
      <c r="K177" s="141"/>
      <c r="L177" s="141"/>
      <c r="M177" s="141"/>
      <c r="N177" s="141"/>
    </row>
    <row r="178" spans="1:14" ht="16" x14ac:dyDescent="0.2">
      <c r="A178" s="141"/>
      <c r="B178" s="141"/>
      <c r="C178" s="141"/>
      <c r="D178" s="141"/>
      <c r="E178" s="141"/>
      <c r="F178" s="141"/>
      <c r="G178" s="141"/>
      <c r="H178" s="141"/>
      <c r="I178" s="141"/>
      <c r="J178" s="141"/>
      <c r="K178" s="141"/>
      <c r="L178" s="141"/>
      <c r="M178" s="141"/>
      <c r="N178" s="141"/>
    </row>
    <row r="179" spans="1:14" ht="16" x14ac:dyDescent="0.2">
      <c r="A179" s="141"/>
      <c r="B179" s="141"/>
      <c r="C179" s="141"/>
      <c r="D179" s="141"/>
      <c r="E179" s="141"/>
      <c r="F179" s="141"/>
      <c r="G179" s="141"/>
      <c r="H179" s="141"/>
      <c r="I179" s="141"/>
      <c r="J179" s="141"/>
      <c r="K179" s="141"/>
      <c r="L179" s="141"/>
      <c r="M179" s="141"/>
      <c r="N179" s="141"/>
    </row>
    <row r="180" spans="1:14" ht="16" x14ac:dyDescent="0.2">
      <c r="A180" s="141"/>
      <c r="B180" s="141"/>
      <c r="C180" s="141"/>
      <c r="D180" s="141"/>
      <c r="E180" s="141"/>
      <c r="F180" s="141"/>
      <c r="G180" s="141"/>
      <c r="H180" s="141"/>
      <c r="I180" s="141"/>
      <c r="J180" s="141"/>
      <c r="K180" s="141"/>
      <c r="L180" s="141"/>
      <c r="M180" s="141"/>
      <c r="N180" s="141"/>
    </row>
    <row r="181" spans="1:14" ht="16" x14ac:dyDescent="0.2">
      <c r="A181" s="141"/>
      <c r="B181" s="141"/>
      <c r="C181" s="141"/>
      <c r="D181" s="141"/>
      <c r="E181" s="141"/>
      <c r="F181" s="141"/>
      <c r="G181" s="141"/>
      <c r="H181" s="141"/>
      <c r="I181" s="141"/>
      <c r="J181" s="141"/>
      <c r="K181" s="141"/>
      <c r="L181" s="141"/>
      <c r="M181" s="141"/>
      <c r="N181" s="141"/>
    </row>
    <row r="182" spans="1:14" ht="16" x14ac:dyDescent="0.2">
      <c r="A182" s="141"/>
      <c r="B182" s="141"/>
      <c r="C182" s="141"/>
      <c r="D182" s="141"/>
      <c r="E182" s="141"/>
      <c r="F182" s="141"/>
      <c r="G182" s="141"/>
      <c r="H182" s="141"/>
      <c r="I182" s="141"/>
      <c r="J182" s="141"/>
      <c r="K182" s="141"/>
      <c r="L182" s="141"/>
      <c r="M182" s="141"/>
      <c r="N182" s="141"/>
    </row>
    <row r="183" spans="1:14" ht="16" x14ac:dyDescent="0.2">
      <c r="A183" s="141"/>
      <c r="B183" s="141"/>
      <c r="C183" s="141"/>
      <c r="D183" s="141"/>
      <c r="E183" s="141"/>
      <c r="F183" s="141"/>
      <c r="G183" s="141"/>
      <c r="H183" s="141"/>
      <c r="I183" s="141"/>
      <c r="J183" s="141"/>
      <c r="K183" s="141"/>
      <c r="L183" s="141"/>
      <c r="M183" s="141"/>
      <c r="N183" s="141"/>
    </row>
    <row r="184" spans="1:14" ht="16" x14ac:dyDescent="0.2">
      <c r="A184" s="141"/>
      <c r="B184" s="141"/>
      <c r="C184" s="141"/>
      <c r="D184" s="141"/>
      <c r="E184" s="141"/>
      <c r="F184" s="141"/>
      <c r="G184" s="141"/>
      <c r="H184" s="141"/>
      <c r="I184" s="141"/>
      <c r="J184" s="141"/>
      <c r="K184" s="141"/>
      <c r="L184" s="141"/>
      <c r="M184" s="141"/>
      <c r="N184" s="141"/>
    </row>
    <row r="185" spans="1:14" ht="16" x14ac:dyDescent="0.2">
      <c r="A185" s="141"/>
      <c r="B185" s="141"/>
      <c r="C185" s="141"/>
      <c r="D185" s="141"/>
      <c r="E185" s="141"/>
      <c r="F185" s="141"/>
      <c r="G185" s="141"/>
      <c r="H185" s="141"/>
      <c r="I185" s="141"/>
      <c r="J185" s="141"/>
      <c r="K185" s="141"/>
      <c r="L185" s="141"/>
      <c r="M185" s="141"/>
      <c r="N185" s="141"/>
    </row>
    <row r="186" spans="1:14" ht="16" x14ac:dyDescent="0.2">
      <c r="A186" s="141"/>
      <c r="B186" s="141"/>
      <c r="C186" s="141"/>
      <c r="D186" s="141"/>
      <c r="E186" s="141"/>
      <c r="F186" s="141"/>
      <c r="G186" s="141"/>
      <c r="H186" s="141"/>
      <c r="I186" s="141"/>
      <c r="J186" s="141"/>
      <c r="K186" s="141"/>
      <c r="L186" s="141"/>
      <c r="M186" s="141"/>
      <c r="N186" s="141"/>
    </row>
    <row r="187" spans="1:14" ht="16" x14ac:dyDescent="0.2">
      <c r="A187" s="141"/>
      <c r="B187" s="141"/>
      <c r="C187" s="141"/>
      <c r="D187" s="141"/>
      <c r="E187" s="141"/>
      <c r="F187" s="141"/>
      <c r="G187" s="141"/>
      <c r="H187" s="141"/>
      <c r="I187" s="141"/>
      <c r="J187" s="141"/>
      <c r="K187" s="141"/>
      <c r="L187" s="141"/>
      <c r="M187" s="141"/>
      <c r="N187" s="141"/>
    </row>
    <row r="188" spans="1:14" ht="16" x14ac:dyDescent="0.2">
      <c r="A188" s="141"/>
      <c r="B188" s="141"/>
      <c r="C188" s="141"/>
      <c r="D188" s="141"/>
      <c r="E188" s="141"/>
      <c r="F188" s="141"/>
      <c r="G188" s="141"/>
      <c r="H188" s="141"/>
      <c r="I188" s="141"/>
      <c r="J188" s="141"/>
      <c r="K188" s="141"/>
      <c r="L188" s="141"/>
      <c r="M188" s="141"/>
      <c r="N188" s="141"/>
    </row>
    <row r="189" spans="1:14" ht="16" x14ac:dyDescent="0.2">
      <c r="A189" s="141"/>
      <c r="B189" s="141"/>
      <c r="C189" s="141"/>
      <c r="D189" s="141"/>
      <c r="E189" s="141"/>
      <c r="F189" s="141"/>
      <c r="G189" s="141"/>
      <c r="H189" s="141"/>
      <c r="I189" s="141"/>
      <c r="J189" s="141"/>
      <c r="K189" s="141"/>
      <c r="L189" s="141"/>
      <c r="M189" s="141"/>
      <c r="N189" s="141"/>
    </row>
    <row r="190" spans="1:14" ht="16" x14ac:dyDescent="0.2">
      <c r="A190" s="141"/>
      <c r="B190" s="141"/>
      <c r="C190" s="141"/>
      <c r="D190" s="141"/>
      <c r="E190" s="141"/>
      <c r="F190" s="141"/>
      <c r="G190" s="141"/>
      <c r="H190" s="141"/>
      <c r="I190" s="141"/>
      <c r="J190" s="141"/>
      <c r="K190" s="141"/>
      <c r="L190" s="141"/>
      <c r="M190" s="141"/>
      <c r="N190" s="141"/>
    </row>
    <row r="191" spans="1:14" ht="16" x14ac:dyDescent="0.2">
      <c r="A191" s="141"/>
      <c r="B191" s="141"/>
      <c r="C191" s="141"/>
      <c r="D191" s="141"/>
      <c r="E191" s="141"/>
      <c r="F191" s="141"/>
      <c r="G191" s="141"/>
      <c r="H191" s="141"/>
      <c r="I191" s="141"/>
      <c r="J191" s="141"/>
      <c r="K191" s="141"/>
      <c r="L191" s="141"/>
      <c r="M191" s="141"/>
      <c r="N191" s="141"/>
    </row>
    <row r="192" spans="1:14" ht="16" x14ac:dyDescent="0.2">
      <c r="A192" s="141"/>
      <c r="B192" s="141"/>
      <c r="C192" s="141"/>
      <c r="D192" s="141"/>
      <c r="E192" s="141"/>
      <c r="F192" s="141"/>
      <c r="G192" s="141"/>
      <c r="H192" s="141"/>
      <c r="I192" s="141"/>
      <c r="J192" s="141"/>
      <c r="K192" s="141"/>
      <c r="L192" s="141"/>
      <c r="M192" s="141"/>
      <c r="N192" s="141"/>
    </row>
    <row r="193" spans="1:14" ht="16" x14ac:dyDescent="0.2">
      <c r="A193" s="141"/>
      <c r="B193" s="141"/>
      <c r="C193" s="141"/>
      <c r="D193" s="141"/>
      <c r="E193" s="141"/>
      <c r="F193" s="141"/>
      <c r="G193" s="141"/>
      <c r="H193" s="141"/>
      <c r="I193" s="141"/>
      <c r="J193" s="141"/>
      <c r="K193" s="141"/>
      <c r="L193" s="141"/>
      <c r="M193" s="141"/>
      <c r="N193" s="141"/>
    </row>
    <row r="194" spans="1:14" ht="16" x14ac:dyDescent="0.2">
      <c r="A194" s="141"/>
      <c r="B194" s="141"/>
      <c r="C194" s="141"/>
      <c r="D194" s="141"/>
      <c r="E194" s="141"/>
      <c r="F194" s="141"/>
      <c r="G194" s="141"/>
      <c r="H194" s="141"/>
      <c r="I194" s="141"/>
      <c r="J194" s="141"/>
      <c r="K194" s="141"/>
      <c r="L194" s="141"/>
      <c r="M194" s="141"/>
      <c r="N194" s="141"/>
    </row>
    <row r="195" spans="1:14" ht="16" x14ac:dyDescent="0.2">
      <c r="A195" s="141"/>
      <c r="B195" s="141"/>
      <c r="C195" s="141"/>
      <c r="D195" s="141"/>
      <c r="E195" s="141"/>
      <c r="F195" s="141"/>
      <c r="G195" s="141"/>
      <c r="H195" s="141"/>
      <c r="I195" s="141"/>
      <c r="J195" s="141"/>
      <c r="K195" s="141"/>
      <c r="L195" s="141"/>
      <c r="M195" s="141"/>
      <c r="N195" s="141"/>
    </row>
    <row r="196" spans="1:14" ht="16" x14ac:dyDescent="0.2">
      <c r="A196" s="141"/>
      <c r="B196" s="141"/>
      <c r="C196" s="141"/>
      <c r="D196" s="141"/>
      <c r="E196" s="141"/>
      <c r="F196" s="141"/>
      <c r="G196" s="141"/>
      <c r="H196" s="141"/>
      <c r="I196" s="141"/>
      <c r="J196" s="141"/>
      <c r="K196" s="141"/>
      <c r="L196" s="141"/>
      <c r="M196" s="141"/>
      <c r="N196" s="141"/>
    </row>
    <row r="197" spans="1:14" ht="16" x14ac:dyDescent="0.2">
      <c r="A197" s="141"/>
      <c r="B197" s="141"/>
      <c r="C197" s="141"/>
      <c r="D197" s="141"/>
      <c r="E197" s="141"/>
      <c r="F197" s="141"/>
      <c r="G197" s="141"/>
      <c r="H197" s="141"/>
      <c r="I197" s="141"/>
      <c r="J197" s="141"/>
      <c r="K197" s="141"/>
      <c r="L197" s="141"/>
      <c r="M197" s="141"/>
      <c r="N197" s="141"/>
    </row>
    <row r="198" spans="1:14" ht="16" x14ac:dyDescent="0.2">
      <c r="A198" s="141"/>
      <c r="B198" s="141"/>
      <c r="C198" s="141"/>
      <c r="D198" s="141"/>
      <c r="E198" s="141"/>
      <c r="F198" s="141"/>
      <c r="G198" s="141"/>
      <c r="H198" s="141"/>
      <c r="I198" s="141"/>
      <c r="J198" s="141"/>
      <c r="K198" s="141"/>
      <c r="L198" s="141"/>
      <c r="M198" s="141"/>
      <c r="N198" s="141"/>
    </row>
    <row r="199" spans="1:14" ht="16" x14ac:dyDescent="0.2">
      <c r="A199" s="141"/>
      <c r="B199" s="141"/>
      <c r="C199" s="141"/>
      <c r="D199" s="141"/>
      <c r="E199" s="141"/>
      <c r="F199" s="141"/>
      <c r="G199" s="141"/>
      <c r="H199" s="141"/>
      <c r="I199" s="141"/>
      <c r="J199" s="141"/>
      <c r="K199" s="141"/>
      <c r="L199" s="141"/>
      <c r="M199" s="141"/>
      <c r="N199" s="141"/>
    </row>
    <row r="200" spans="1:14" ht="16" x14ac:dyDescent="0.2">
      <c r="A200" s="141"/>
      <c r="B200" s="141"/>
      <c r="C200" s="141"/>
      <c r="D200" s="141"/>
      <c r="E200" s="141"/>
      <c r="F200" s="141"/>
      <c r="G200" s="141"/>
      <c r="H200" s="141"/>
      <c r="I200" s="141"/>
      <c r="J200" s="141"/>
      <c r="K200" s="141"/>
      <c r="L200" s="141"/>
      <c r="M200" s="141"/>
      <c r="N200" s="141"/>
    </row>
    <row r="201" spans="1:14" ht="16" x14ac:dyDescent="0.2">
      <c r="A201" s="141"/>
      <c r="B201" s="141"/>
      <c r="C201" s="141"/>
      <c r="D201" s="141"/>
      <c r="E201" s="141"/>
      <c r="F201" s="141"/>
      <c r="G201" s="141"/>
      <c r="H201" s="141"/>
      <c r="I201" s="141"/>
      <c r="J201" s="141"/>
      <c r="K201" s="141"/>
      <c r="L201" s="141"/>
      <c r="M201" s="141"/>
      <c r="N201" s="141"/>
    </row>
    <row r="202" spans="1:14" ht="16" x14ac:dyDescent="0.2">
      <c r="A202" s="141"/>
      <c r="B202" s="141"/>
      <c r="C202" s="141"/>
      <c r="D202" s="141"/>
      <c r="E202" s="141"/>
      <c r="F202" s="141"/>
      <c r="G202" s="141"/>
      <c r="H202" s="141"/>
      <c r="I202" s="141"/>
      <c r="J202" s="141"/>
      <c r="K202" s="141"/>
      <c r="L202" s="141"/>
      <c r="M202" s="141"/>
      <c r="N202" s="141"/>
    </row>
    <row r="203" spans="1:14" ht="16" x14ac:dyDescent="0.2">
      <c r="A203" s="141"/>
      <c r="B203" s="141"/>
      <c r="C203" s="141"/>
      <c r="D203" s="141"/>
      <c r="E203" s="141"/>
      <c r="F203" s="141"/>
      <c r="G203" s="141"/>
      <c r="H203" s="141"/>
      <c r="I203" s="141"/>
      <c r="J203" s="141"/>
      <c r="K203" s="141"/>
      <c r="L203" s="141"/>
      <c r="M203" s="141"/>
      <c r="N203" s="141"/>
    </row>
    <row r="204" spans="1:14" ht="16" x14ac:dyDescent="0.2">
      <c r="A204" s="141"/>
      <c r="B204" s="141"/>
      <c r="C204" s="141"/>
      <c r="D204" s="141"/>
      <c r="E204" s="141"/>
      <c r="F204" s="141"/>
      <c r="G204" s="141"/>
      <c r="H204" s="141"/>
      <c r="I204" s="141"/>
      <c r="J204" s="141"/>
      <c r="K204" s="141"/>
      <c r="L204" s="141"/>
      <c r="M204" s="141"/>
      <c r="N204" s="141"/>
    </row>
    <row r="205" spans="1:14" ht="16" x14ac:dyDescent="0.2">
      <c r="A205" s="141"/>
      <c r="B205" s="141"/>
      <c r="C205" s="141"/>
      <c r="D205" s="141"/>
      <c r="E205" s="141"/>
      <c r="F205" s="141"/>
      <c r="G205" s="141"/>
      <c r="H205" s="141"/>
      <c r="I205" s="141"/>
      <c r="J205" s="141"/>
      <c r="K205" s="141"/>
      <c r="L205" s="141"/>
      <c r="M205" s="141"/>
      <c r="N205" s="141"/>
    </row>
    <row r="206" spans="1:14" ht="16" x14ac:dyDescent="0.2">
      <c r="A206" s="141"/>
      <c r="B206" s="141"/>
      <c r="C206" s="141"/>
      <c r="D206" s="141"/>
      <c r="E206" s="141"/>
      <c r="F206" s="141"/>
      <c r="G206" s="141"/>
      <c r="H206" s="141"/>
      <c r="I206" s="141"/>
      <c r="J206" s="141"/>
      <c r="K206" s="141"/>
      <c r="L206" s="141"/>
      <c r="M206" s="141"/>
      <c r="N206" s="141"/>
    </row>
    <row r="207" spans="1:14" ht="16" x14ac:dyDescent="0.2">
      <c r="A207" s="141"/>
      <c r="B207" s="141"/>
      <c r="C207" s="141"/>
      <c r="D207" s="141"/>
      <c r="E207" s="141"/>
      <c r="F207" s="141"/>
      <c r="G207" s="141"/>
      <c r="H207" s="141"/>
      <c r="I207" s="141"/>
      <c r="J207" s="141"/>
      <c r="K207" s="141"/>
      <c r="L207" s="141"/>
      <c r="M207" s="141"/>
      <c r="N207" s="141"/>
    </row>
    <row r="208" spans="1:14" ht="16" x14ac:dyDescent="0.2">
      <c r="A208" s="141"/>
      <c r="B208" s="141"/>
      <c r="C208" s="141"/>
      <c r="D208" s="141"/>
      <c r="E208" s="141"/>
      <c r="F208" s="141"/>
      <c r="G208" s="141"/>
      <c r="H208" s="141"/>
      <c r="I208" s="141"/>
      <c r="J208" s="141"/>
      <c r="K208" s="141"/>
      <c r="L208" s="141"/>
      <c r="M208" s="141"/>
      <c r="N208" s="141"/>
    </row>
    <row r="209" spans="1:14" ht="16" x14ac:dyDescent="0.2">
      <c r="A209" s="141"/>
      <c r="B209" s="141"/>
      <c r="C209" s="141"/>
      <c r="D209" s="141"/>
      <c r="E209" s="141"/>
      <c r="F209" s="141"/>
      <c r="G209" s="141"/>
      <c r="H209" s="141"/>
      <c r="I209" s="141"/>
      <c r="J209" s="141"/>
      <c r="K209" s="141"/>
      <c r="L209" s="141"/>
      <c r="M209" s="141"/>
      <c r="N209" s="141"/>
    </row>
    <row r="210" spans="1:14" ht="16" x14ac:dyDescent="0.2">
      <c r="A210" s="141"/>
      <c r="B210" s="141"/>
      <c r="C210" s="141"/>
      <c r="D210" s="141"/>
      <c r="E210" s="141"/>
      <c r="F210" s="141"/>
      <c r="G210" s="141"/>
      <c r="H210" s="141"/>
      <c r="I210" s="141"/>
      <c r="J210" s="141"/>
      <c r="K210" s="141"/>
      <c r="L210" s="141"/>
      <c r="M210" s="141"/>
      <c r="N210" s="141"/>
    </row>
    <row r="211" spans="1:14" ht="16" x14ac:dyDescent="0.2">
      <c r="A211" s="141"/>
      <c r="B211" s="141"/>
      <c r="C211" s="141"/>
      <c r="D211" s="141"/>
      <c r="E211" s="141"/>
      <c r="F211" s="141"/>
      <c r="G211" s="141"/>
      <c r="H211" s="141"/>
      <c r="I211" s="141"/>
      <c r="J211" s="141"/>
      <c r="K211" s="141"/>
      <c r="L211" s="141"/>
      <c r="M211" s="141"/>
      <c r="N211" s="141"/>
    </row>
    <row r="212" spans="1:14" ht="16" x14ac:dyDescent="0.2">
      <c r="A212" s="141"/>
      <c r="B212" s="141"/>
      <c r="C212" s="141"/>
      <c r="D212" s="141"/>
      <c r="E212" s="141"/>
      <c r="F212" s="141"/>
      <c r="G212" s="141"/>
      <c r="H212" s="141"/>
      <c r="I212" s="141"/>
      <c r="J212" s="141"/>
      <c r="K212" s="141"/>
      <c r="L212" s="141"/>
      <c r="M212" s="141"/>
      <c r="N212" s="141"/>
    </row>
    <row r="213" spans="1:14" ht="16" x14ac:dyDescent="0.2">
      <c r="A213" s="141"/>
      <c r="B213" s="141"/>
      <c r="C213" s="141"/>
      <c r="D213" s="141"/>
      <c r="E213" s="141"/>
      <c r="F213" s="141"/>
      <c r="G213" s="141"/>
      <c r="H213" s="141"/>
      <c r="I213" s="141"/>
      <c r="J213" s="141"/>
      <c r="K213" s="141"/>
      <c r="L213" s="141"/>
      <c r="M213" s="141"/>
      <c r="N213" s="141"/>
    </row>
    <row r="214" spans="1:14" ht="16" x14ac:dyDescent="0.2">
      <c r="A214" s="141"/>
      <c r="B214" s="141"/>
      <c r="C214" s="141"/>
      <c r="D214" s="141"/>
      <c r="E214" s="141"/>
      <c r="F214" s="141"/>
      <c r="G214" s="141"/>
      <c r="H214" s="141"/>
      <c r="I214" s="141"/>
      <c r="J214" s="141"/>
      <c r="K214" s="141"/>
      <c r="L214" s="141"/>
      <c r="M214" s="141"/>
      <c r="N214" s="141"/>
    </row>
    <row r="215" spans="1:14" ht="16" x14ac:dyDescent="0.2">
      <c r="A215" s="141"/>
      <c r="B215" s="141"/>
      <c r="C215" s="141"/>
      <c r="D215" s="141"/>
      <c r="E215" s="141"/>
      <c r="F215" s="141"/>
      <c r="G215" s="141"/>
      <c r="H215" s="141"/>
      <c r="I215" s="141"/>
      <c r="J215" s="141"/>
      <c r="K215" s="141"/>
      <c r="L215" s="141"/>
      <c r="M215" s="141"/>
      <c r="N215" s="141"/>
    </row>
    <row r="216" spans="1:14" ht="16" x14ac:dyDescent="0.2">
      <c r="A216" s="141"/>
      <c r="B216" s="141"/>
      <c r="C216" s="141"/>
      <c r="D216" s="141"/>
      <c r="E216" s="141"/>
      <c r="F216" s="141"/>
      <c r="G216" s="141"/>
      <c r="H216" s="141"/>
      <c r="I216" s="141"/>
      <c r="J216" s="141"/>
      <c r="K216" s="141"/>
      <c r="L216" s="141"/>
      <c r="M216" s="141"/>
      <c r="N216" s="141"/>
    </row>
    <row r="217" spans="1:14" ht="16" x14ac:dyDescent="0.2">
      <c r="A217" s="141"/>
      <c r="B217" s="141"/>
      <c r="C217" s="141"/>
      <c r="D217" s="141"/>
      <c r="E217" s="141"/>
      <c r="F217" s="141"/>
      <c r="G217" s="141"/>
      <c r="H217" s="141"/>
      <c r="I217" s="141"/>
      <c r="J217" s="141"/>
      <c r="K217" s="141"/>
      <c r="L217" s="141"/>
      <c r="M217" s="141"/>
      <c r="N217" s="141"/>
    </row>
    <row r="218" spans="1:14" ht="16" x14ac:dyDescent="0.2">
      <c r="A218" s="141"/>
      <c r="B218" s="141"/>
      <c r="C218" s="141"/>
      <c r="D218" s="141"/>
      <c r="E218" s="141"/>
      <c r="F218" s="141"/>
      <c r="G218" s="141"/>
      <c r="H218" s="141"/>
      <c r="I218" s="141"/>
      <c r="J218" s="141"/>
      <c r="K218" s="141"/>
      <c r="L218" s="141"/>
      <c r="M218" s="141"/>
      <c r="N218" s="141"/>
    </row>
    <row r="219" spans="1:14" ht="16" x14ac:dyDescent="0.2">
      <c r="A219" s="141"/>
      <c r="B219" s="141"/>
      <c r="C219" s="141"/>
      <c r="D219" s="141"/>
      <c r="E219" s="141"/>
      <c r="F219" s="141"/>
      <c r="G219" s="141"/>
      <c r="H219" s="141"/>
      <c r="I219" s="141"/>
      <c r="J219" s="141"/>
      <c r="K219" s="141"/>
      <c r="L219" s="141"/>
      <c r="M219" s="141"/>
      <c r="N219" s="141"/>
    </row>
    <row r="220" spans="1:14" ht="16" x14ac:dyDescent="0.2">
      <c r="A220" s="141"/>
      <c r="B220" s="141"/>
      <c r="C220" s="141"/>
      <c r="D220" s="141"/>
      <c r="E220" s="141"/>
      <c r="F220" s="141"/>
      <c r="G220" s="141"/>
      <c r="H220" s="141"/>
      <c r="I220" s="141"/>
      <c r="J220" s="141"/>
      <c r="K220" s="141"/>
      <c r="L220" s="141"/>
      <c r="M220" s="141"/>
      <c r="N220" s="141"/>
    </row>
    <row r="221" spans="1:14" ht="16" x14ac:dyDescent="0.2">
      <c r="A221" s="141"/>
      <c r="B221" s="141"/>
      <c r="C221" s="141"/>
      <c r="D221" s="141"/>
      <c r="E221" s="141"/>
      <c r="F221" s="141"/>
      <c r="G221" s="141"/>
      <c r="H221" s="141"/>
      <c r="I221" s="141"/>
      <c r="J221" s="141"/>
      <c r="K221" s="141"/>
      <c r="L221" s="141"/>
      <c r="M221" s="141"/>
      <c r="N221" s="141"/>
    </row>
    <row r="222" spans="1:14" ht="16" x14ac:dyDescent="0.2">
      <c r="A222" s="141"/>
      <c r="B222" s="141"/>
      <c r="C222" s="141"/>
      <c r="D222" s="141"/>
      <c r="E222" s="141"/>
      <c r="F222" s="141"/>
      <c r="G222" s="141"/>
      <c r="H222" s="141"/>
      <c r="I222" s="141"/>
      <c r="J222" s="141"/>
      <c r="K222" s="141"/>
      <c r="L222" s="141"/>
      <c r="M222" s="141"/>
      <c r="N222" s="141"/>
    </row>
    <row r="223" spans="1:14" ht="16" x14ac:dyDescent="0.2">
      <c r="A223" s="141"/>
      <c r="B223" s="141"/>
      <c r="C223" s="141"/>
      <c r="D223" s="141"/>
      <c r="E223" s="141"/>
      <c r="F223" s="141"/>
      <c r="G223" s="141"/>
      <c r="H223" s="141"/>
      <c r="I223" s="141"/>
      <c r="J223" s="141"/>
      <c r="K223" s="141"/>
      <c r="L223" s="141"/>
      <c r="M223" s="141"/>
      <c r="N223" s="141"/>
    </row>
    <row r="224" spans="1:14" ht="16" x14ac:dyDescent="0.2">
      <c r="A224" s="141"/>
      <c r="B224" s="141"/>
      <c r="C224" s="141"/>
      <c r="D224" s="141"/>
      <c r="E224" s="141"/>
      <c r="F224" s="141"/>
      <c r="G224" s="141"/>
      <c r="H224" s="141"/>
      <c r="I224" s="141"/>
      <c r="J224" s="141"/>
      <c r="K224" s="141"/>
      <c r="L224" s="141"/>
      <c r="M224" s="141"/>
      <c r="N224" s="141"/>
    </row>
    <row r="225" spans="1:14" ht="16" x14ac:dyDescent="0.2">
      <c r="A225" s="141"/>
      <c r="B225" s="141"/>
      <c r="C225" s="141"/>
      <c r="D225" s="141"/>
      <c r="E225" s="141"/>
      <c r="F225" s="141"/>
      <c r="G225" s="141"/>
      <c r="H225" s="141"/>
      <c r="I225" s="141"/>
      <c r="J225" s="141"/>
      <c r="K225" s="141"/>
      <c r="L225" s="141"/>
      <c r="M225" s="141"/>
      <c r="N225" s="141"/>
    </row>
    <row r="226" spans="1:14" ht="16" x14ac:dyDescent="0.2">
      <c r="A226" s="141"/>
      <c r="B226" s="141"/>
      <c r="C226" s="141"/>
      <c r="D226" s="141"/>
      <c r="E226" s="141"/>
      <c r="F226" s="141"/>
      <c r="G226" s="141"/>
      <c r="H226" s="141"/>
      <c r="I226" s="141"/>
      <c r="J226" s="141"/>
      <c r="K226" s="141"/>
      <c r="L226" s="141"/>
      <c r="M226" s="141"/>
      <c r="N226" s="141"/>
    </row>
    <row r="227" spans="1:14" ht="16" x14ac:dyDescent="0.2">
      <c r="A227" s="141"/>
      <c r="B227" s="141"/>
      <c r="C227" s="141"/>
      <c r="D227" s="141"/>
      <c r="E227" s="141"/>
      <c r="F227" s="141"/>
      <c r="G227" s="141"/>
      <c r="H227" s="141"/>
      <c r="I227" s="141"/>
      <c r="J227" s="141"/>
      <c r="K227" s="141"/>
      <c r="L227" s="141"/>
      <c r="M227" s="141"/>
      <c r="N227" s="141"/>
    </row>
    <row r="228" spans="1:14" ht="16" x14ac:dyDescent="0.2">
      <c r="A228" s="141"/>
      <c r="B228" s="141"/>
      <c r="C228" s="141"/>
      <c r="D228" s="141"/>
      <c r="E228" s="141"/>
      <c r="F228" s="141"/>
      <c r="G228" s="141"/>
      <c r="H228" s="141"/>
      <c r="I228" s="141"/>
      <c r="J228" s="141"/>
      <c r="K228" s="141"/>
      <c r="L228" s="141"/>
      <c r="M228" s="141"/>
      <c r="N228" s="141"/>
    </row>
    <row r="229" spans="1:14" ht="16" x14ac:dyDescent="0.2">
      <c r="A229" s="141"/>
      <c r="B229" s="141"/>
      <c r="C229" s="141"/>
      <c r="D229" s="141"/>
      <c r="E229" s="141"/>
      <c r="F229" s="141"/>
      <c r="G229" s="141"/>
      <c r="H229" s="141"/>
      <c r="I229" s="141"/>
      <c r="J229" s="141"/>
      <c r="K229" s="141"/>
      <c r="L229" s="141"/>
      <c r="M229" s="141"/>
      <c r="N229" s="141"/>
    </row>
    <row r="230" spans="1:14" ht="16" x14ac:dyDescent="0.2">
      <c r="A230" s="141"/>
      <c r="B230" s="141"/>
      <c r="C230" s="141"/>
      <c r="D230" s="141"/>
      <c r="E230" s="141"/>
      <c r="F230" s="149"/>
      <c r="G230" s="141"/>
      <c r="H230" s="141"/>
      <c r="I230" s="141"/>
      <c r="J230" s="141"/>
      <c r="K230" s="141"/>
      <c r="L230" s="141"/>
      <c r="M230" s="141"/>
      <c r="N230" s="141"/>
    </row>
    <row r="231" spans="1:14" ht="16" x14ac:dyDescent="0.2">
      <c r="A231" s="141"/>
      <c r="B231" s="141"/>
      <c r="C231" s="141"/>
      <c r="D231" s="141"/>
      <c r="E231" s="141"/>
      <c r="F231" s="141"/>
      <c r="G231" s="141"/>
      <c r="H231" s="141"/>
      <c r="I231" s="141"/>
      <c r="J231" s="141"/>
      <c r="K231" s="141"/>
      <c r="L231" s="141"/>
      <c r="M231" s="141"/>
      <c r="N231" s="141"/>
    </row>
    <row r="232" spans="1:14" ht="16" x14ac:dyDescent="0.2">
      <c r="A232" s="141"/>
      <c r="B232" s="141"/>
      <c r="C232" s="141"/>
      <c r="D232" s="141"/>
      <c r="E232" s="141"/>
      <c r="F232" s="152"/>
      <c r="G232" s="141"/>
      <c r="H232" s="141"/>
      <c r="I232" s="141"/>
      <c r="J232" s="141"/>
      <c r="K232" s="141"/>
      <c r="L232" s="141"/>
      <c r="M232" s="141"/>
      <c r="N232" s="141"/>
    </row>
    <row r="233" spans="1:14" ht="16" x14ac:dyDescent="0.2">
      <c r="A233" s="141"/>
      <c r="B233" s="141"/>
      <c r="C233" s="141"/>
      <c r="D233" s="141"/>
      <c r="E233" s="141"/>
      <c r="F233" s="141"/>
      <c r="G233" s="141"/>
      <c r="H233" s="141"/>
      <c r="I233" s="141"/>
      <c r="J233" s="141"/>
      <c r="K233" s="141"/>
      <c r="L233" s="141"/>
      <c r="M233" s="141"/>
      <c r="N233" s="141"/>
    </row>
    <row r="234" spans="1:14" ht="16" x14ac:dyDescent="0.2">
      <c r="A234" s="141"/>
      <c r="B234" s="141"/>
      <c r="C234" s="141"/>
      <c r="D234" s="141"/>
      <c r="E234" s="141"/>
      <c r="F234" s="146"/>
      <c r="G234" s="141"/>
      <c r="H234" s="141"/>
      <c r="I234" s="141"/>
      <c r="J234" s="141"/>
      <c r="K234" s="141"/>
      <c r="L234" s="141"/>
      <c r="M234" s="141"/>
      <c r="N234" s="141"/>
    </row>
    <row r="235" spans="1:14" ht="16" x14ac:dyDescent="0.2">
      <c r="A235" s="141"/>
      <c r="B235" s="141"/>
      <c r="C235" s="141"/>
      <c r="D235" s="141"/>
      <c r="E235" s="141"/>
      <c r="F235" s="152"/>
      <c r="G235" s="141"/>
      <c r="H235" s="141"/>
      <c r="I235" s="141"/>
      <c r="J235" s="141"/>
      <c r="K235" s="141"/>
      <c r="L235" s="141"/>
      <c r="M235" s="141"/>
      <c r="N235" s="141"/>
    </row>
    <row r="236" spans="1:14" ht="16" x14ac:dyDescent="0.2">
      <c r="A236" s="141"/>
      <c r="B236" s="141"/>
      <c r="C236" s="141"/>
      <c r="D236" s="141"/>
      <c r="E236" s="141"/>
      <c r="F236" s="146"/>
      <c r="G236" s="141"/>
      <c r="H236" s="141"/>
      <c r="I236" s="141"/>
      <c r="J236" s="141"/>
      <c r="K236" s="141"/>
      <c r="L236" s="141"/>
      <c r="M236" s="141"/>
      <c r="N236" s="141"/>
    </row>
    <row r="237" spans="1:14" ht="16" x14ac:dyDescent="0.2">
      <c r="A237" s="141"/>
      <c r="B237" s="141"/>
      <c r="C237" s="141"/>
      <c r="D237" s="141"/>
      <c r="E237" s="141"/>
      <c r="F237" s="141"/>
      <c r="G237" s="141"/>
      <c r="H237" s="141"/>
      <c r="I237" s="141"/>
      <c r="J237" s="141"/>
      <c r="K237" s="141"/>
      <c r="L237" s="141"/>
      <c r="M237" s="141"/>
      <c r="N237" s="141"/>
    </row>
    <row r="238" spans="1:14" ht="16" x14ac:dyDescent="0.2">
      <c r="A238" s="141"/>
      <c r="B238" s="141"/>
      <c r="C238" s="141"/>
      <c r="D238" s="141"/>
      <c r="E238" s="141"/>
      <c r="F238" s="152"/>
      <c r="G238" s="141"/>
      <c r="H238" s="141"/>
      <c r="I238" s="141"/>
      <c r="J238" s="141"/>
      <c r="K238" s="141"/>
      <c r="L238" s="141"/>
      <c r="M238" s="141"/>
      <c r="N238" s="141"/>
    </row>
    <row r="239" spans="1:14" ht="16" x14ac:dyDescent="0.2">
      <c r="A239" s="141"/>
      <c r="B239" s="141"/>
      <c r="C239" s="141"/>
      <c r="D239" s="141"/>
      <c r="E239" s="141"/>
      <c r="F239" s="146"/>
      <c r="G239" s="141"/>
      <c r="H239" s="141"/>
      <c r="I239" s="141"/>
      <c r="J239" s="141"/>
      <c r="K239" s="141"/>
      <c r="L239" s="141"/>
      <c r="M239" s="141"/>
      <c r="N239" s="141"/>
    </row>
    <row r="240" spans="1:14" ht="16" x14ac:dyDescent="0.2">
      <c r="A240" s="141"/>
      <c r="B240" s="141"/>
      <c r="C240" s="141"/>
      <c r="D240" s="141"/>
      <c r="E240" s="141"/>
      <c r="F240" s="150"/>
      <c r="G240" s="141"/>
      <c r="H240" s="141"/>
      <c r="I240" s="141"/>
      <c r="J240" s="141"/>
      <c r="K240" s="141"/>
      <c r="L240" s="141"/>
      <c r="M240" s="141"/>
      <c r="N240" s="141"/>
    </row>
    <row r="241" spans="1:14" ht="16" x14ac:dyDescent="0.2">
      <c r="A241" s="141"/>
      <c r="B241" s="141"/>
      <c r="C241" s="141"/>
      <c r="D241" s="141"/>
      <c r="E241" s="141"/>
      <c r="F241" s="143"/>
      <c r="G241" s="141"/>
      <c r="H241" s="141"/>
      <c r="I241" s="141"/>
      <c r="J241" s="141"/>
      <c r="K241" s="141"/>
      <c r="L241" s="141"/>
      <c r="M241" s="141"/>
      <c r="N241" s="141"/>
    </row>
    <row r="242" spans="1:14" ht="16" x14ac:dyDescent="0.2">
      <c r="A242" s="141"/>
      <c r="B242" s="141"/>
      <c r="C242" s="141"/>
      <c r="D242" s="141"/>
      <c r="E242" s="141"/>
      <c r="F242" s="141"/>
      <c r="G242" s="141"/>
      <c r="H242" s="141"/>
      <c r="I242" s="141"/>
      <c r="J242" s="141"/>
      <c r="K242" s="141"/>
      <c r="L242" s="141"/>
      <c r="M242" s="141"/>
      <c r="N242" s="141"/>
    </row>
    <row r="243" spans="1:14" ht="16" x14ac:dyDescent="0.2">
      <c r="A243" s="141"/>
      <c r="B243" s="141"/>
      <c r="C243" s="141"/>
      <c r="D243" s="141"/>
      <c r="E243" s="141"/>
      <c r="F243" s="141"/>
      <c r="G243" s="141"/>
      <c r="H243" s="141"/>
      <c r="I243" s="141"/>
      <c r="J243" s="141"/>
      <c r="K243" s="141"/>
      <c r="L243" s="141"/>
      <c r="M243" s="141"/>
      <c r="N243" s="141"/>
    </row>
    <row r="244" spans="1:14" ht="16" x14ac:dyDescent="0.2">
      <c r="A244" s="141"/>
      <c r="B244" s="141"/>
      <c r="C244" s="141"/>
      <c r="D244" s="141"/>
      <c r="E244" s="141"/>
      <c r="F244" s="141"/>
      <c r="G244" s="141"/>
      <c r="H244" s="141"/>
      <c r="I244" s="141"/>
      <c r="J244" s="141"/>
      <c r="K244" s="141"/>
      <c r="L244" s="141"/>
      <c r="M244" s="141"/>
      <c r="N244" s="141"/>
    </row>
    <row r="245" spans="1:14" ht="16" x14ac:dyDescent="0.2">
      <c r="A245" s="141"/>
      <c r="B245" s="141"/>
      <c r="C245" s="141"/>
      <c r="D245" s="141"/>
      <c r="E245" s="141"/>
      <c r="F245" s="141"/>
      <c r="G245" s="141"/>
      <c r="H245" s="141"/>
      <c r="I245" s="141"/>
      <c r="J245" s="141"/>
      <c r="K245" s="141"/>
      <c r="L245" s="141"/>
      <c r="M245" s="141"/>
      <c r="N245" s="141"/>
    </row>
    <row r="246" spans="1:14" ht="16" x14ac:dyDescent="0.2">
      <c r="A246" s="141"/>
      <c r="B246" s="141"/>
      <c r="C246" s="141"/>
      <c r="D246" s="141"/>
      <c r="E246" s="141"/>
      <c r="F246" s="141"/>
      <c r="G246" s="141"/>
      <c r="H246" s="141"/>
      <c r="I246" s="141"/>
      <c r="J246" s="141"/>
      <c r="K246" s="141"/>
      <c r="L246" s="141"/>
      <c r="M246" s="141"/>
      <c r="N246" s="141"/>
    </row>
    <row r="247" spans="1:14" ht="16" x14ac:dyDescent="0.2">
      <c r="A247" s="141"/>
      <c r="B247" s="141"/>
      <c r="C247" s="141"/>
      <c r="D247" s="141"/>
      <c r="E247" s="141"/>
      <c r="F247" s="141"/>
      <c r="G247" s="141"/>
      <c r="H247" s="141"/>
      <c r="I247" s="141"/>
      <c r="J247" s="141"/>
      <c r="K247" s="141"/>
      <c r="L247" s="141"/>
      <c r="M247" s="141"/>
      <c r="N247" s="141"/>
    </row>
    <row r="248" spans="1:14" ht="16" x14ac:dyDescent="0.2">
      <c r="A248" s="141"/>
      <c r="B248" s="141"/>
      <c r="C248" s="141"/>
      <c r="D248" s="141"/>
      <c r="E248" s="141"/>
      <c r="F248" s="141"/>
      <c r="G248" s="141"/>
      <c r="H248" s="141"/>
      <c r="I248" s="141"/>
      <c r="J248" s="141"/>
      <c r="K248" s="141"/>
      <c r="L248" s="141"/>
      <c r="M248" s="141"/>
      <c r="N248" s="141"/>
    </row>
    <row r="249" spans="1:14" ht="16" x14ac:dyDescent="0.2">
      <c r="A249" s="141"/>
      <c r="B249" s="141"/>
      <c r="C249" s="141"/>
      <c r="D249" s="141"/>
      <c r="E249" s="141"/>
      <c r="F249" s="141"/>
      <c r="G249" s="141"/>
      <c r="H249" s="141"/>
      <c r="I249" s="141"/>
      <c r="J249" s="141"/>
      <c r="K249" s="141"/>
      <c r="L249" s="141"/>
      <c r="M249" s="141"/>
      <c r="N249" s="141"/>
    </row>
    <row r="250" spans="1:14" ht="16" x14ac:dyDescent="0.2">
      <c r="A250" s="141"/>
      <c r="B250" s="141"/>
      <c r="C250" s="141"/>
      <c r="D250" s="141"/>
      <c r="E250" s="141"/>
      <c r="F250" s="141"/>
      <c r="G250" s="141"/>
      <c r="H250" s="141"/>
      <c r="I250" s="141"/>
      <c r="J250" s="141"/>
      <c r="K250" s="141"/>
      <c r="L250" s="141"/>
      <c r="M250" s="141"/>
      <c r="N250" s="141"/>
    </row>
    <row r="251" spans="1:14" ht="16" x14ac:dyDescent="0.2">
      <c r="A251" s="141"/>
      <c r="B251" s="141"/>
      <c r="C251" s="141"/>
      <c r="D251" s="141"/>
      <c r="E251" s="141"/>
      <c r="F251" s="141"/>
      <c r="G251" s="141"/>
      <c r="H251" s="141"/>
      <c r="I251" s="141"/>
      <c r="J251" s="141"/>
      <c r="K251" s="141"/>
      <c r="L251" s="141"/>
      <c r="M251" s="141"/>
      <c r="N251" s="141"/>
    </row>
    <row r="252" spans="1:14" ht="16" x14ac:dyDescent="0.2">
      <c r="A252" s="141"/>
      <c r="B252" s="141"/>
      <c r="C252" s="141"/>
      <c r="D252" s="141"/>
      <c r="E252" s="141"/>
      <c r="F252" s="141"/>
      <c r="G252" s="141"/>
      <c r="H252" s="141"/>
      <c r="I252" s="141"/>
      <c r="J252" s="141"/>
      <c r="K252" s="141"/>
      <c r="L252" s="141"/>
      <c r="M252" s="141"/>
      <c r="N252" s="141"/>
    </row>
    <row r="253" spans="1:14" ht="16" x14ac:dyDescent="0.2">
      <c r="A253" s="141"/>
      <c r="B253" s="141"/>
      <c r="C253" s="141"/>
      <c r="D253" s="141"/>
      <c r="E253" s="141"/>
      <c r="F253" s="141"/>
      <c r="G253" s="141"/>
      <c r="H253" s="141"/>
      <c r="I253" s="141"/>
      <c r="J253" s="141"/>
      <c r="K253" s="141"/>
      <c r="L253" s="141"/>
      <c r="M253" s="141"/>
      <c r="N253" s="141"/>
    </row>
    <row r="254" spans="1:14" ht="16" x14ac:dyDescent="0.2">
      <c r="A254" s="141"/>
      <c r="B254" s="141"/>
      <c r="C254" s="141"/>
      <c r="D254" s="141"/>
      <c r="E254" s="141"/>
      <c r="F254" s="141"/>
      <c r="G254" s="141"/>
      <c r="H254" s="141"/>
      <c r="I254" s="141"/>
      <c r="J254" s="141"/>
      <c r="K254" s="141"/>
      <c r="L254" s="141"/>
      <c r="M254" s="141"/>
      <c r="N254" s="141"/>
    </row>
    <row r="255" spans="1:14" ht="16" x14ac:dyDescent="0.2">
      <c r="A255" s="141"/>
      <c r="B255" s="141"/>
      <c r="C255" s="141"/>
      <c r="D255" s="141"/>
      <c r="E255" s="141"/>
      <c r="F255" s="141"/>
      <c r="G255" s="141"/>
      <c r="H255" s="141"/>
      <c r="I255" s="141"/>
      <c r="J255" s="141"/>
      <c r="K255" s="141"/>
      <c r="L255" s="141"/>
      <c r="M255" s="141"/>
      <c r="N255" s="141"/>
    </row>
    <row r="256" spans="1:14" ht="16" x14ac:dyDescent="0.2">
      <c r="A256" s="141"/>
      <c r="B256" s="141"/>
      <c r="C256" s="141"/>
      <c r="D256" s="141"/>
      <c r="E256" s="141"/>
      <c r="F256" s="141"/>
      <c r="G256" s="141"/>
      <c r="H256" s="141"/>
      <c r="I256" s="141"/>
      <c r="J256" s="141"/>
      <c r="K256" s="141"/>
      <c r="L256" s="141"/>
      <c r="M256" s="141"/>
      <c r="N256" s="141"/>
    </row>
    <row r="257" spans="1:14" ht="16" x14ac:dyDescent="0.2">
      <c r="A257" s="141"/>
      <c r="B257" s="141"/>
      <c r="C257" s="141"/>
      <c r="D257" s="141"/>
      <c r="E257" s="141"/>
      <c r="F257" s="141"/>
      <c r="G257" s="141"/>
      <c r="H257" s="141"/>
      <c r="I257" s="141"/>
      <c r="J257" s="141"/>
      <c r="K257" s="141"/>
      <c r="L257" s="141"/>
      <c r="M257" s="141"/>
      <c r="N257" s="141"/>
    </row>
    <row r="258" spans="1:14" ht="16" x14ac:dyDescent="0.2">
      <c r="A258" s="141"/>
      <c r="B258" s="141"/>
      <c r="C258" s="141"/>
      <c r="D258" s="141"/>
      <c r="E258" s="141"/>
      <c r="F258" s="141"/>
      <c r="G258" s="141"/>
      <c r="H258" s="141"/>
      <c r="I258" s="141"/>
      <c r="J258" s="141"/>
      <c r="K258" s="141"/>
      <c r="L258" s="141"/>
      <c r="M258" s="141"/>
      <c r="N258" s="141"/>
    </row>
    <row r="259" spans="1:14" ht="16" x14ac:dyDescent="0.2">
      <c r="A259" s="141"/>
      <c r="B259" s="141"/>
      <c r="C259" s="141"/>
      <c r="D259" s="141"/>
      <c r="E259" s="141"/>
      <c r="F259" s="141"/>
      <c r="G259" s="141"/>
      <c r="H259" s="141"/>
      <c r="I259" s="141"/>
      <c r="J259" s="141"/>
      <c r="K259" s="141"/>
      <c r="L259" s="141"/>
      <c r="M259" s="141"/>
      <c r="N259" s="141"/>
    </row>
    <row r="260" spans="1:14" ht="16" x14ac:dyDescent="0.2">
      <c r="A260" s="141"/>
      <c r="B260" s="141"/>
      <c r="C260" s="141"/>
      <c r="D260" s="141"/>
      <c r="E260" s="141"/>
      <c r="F260" s="141"/>
      <c r="G260" s="141"/>
      <c r="H260" s="141"/>
      <c r="I260" s="141"/>
      <c r="J260" s="141"/>
      <c r="K260" s="141"/>
      <c r="L260" s="141"/>
      <c r="M260" s="141"/>
      <c r="N260" s="141"/>
    </row>
    <row r="261" spans="1:14" ht="16" x14ac:dyDescent="0.2">
      <c r="A261" s="141"/>
      <c r="B261" s="141"/>
      <c r="C261" s="141"/>
      <c r="D261" s="141"/>
      <c r="E261" s="141"/>
      <c r="F261" s="141"/>
      <c r="G261" s="141"/>
      <c r="H261" s="141"/>
      <c r="I261" s="141"/>
      <c r="J261" s="141"/>
      <c r="K261" s="141"/>
      <c r="L261" s="141"/>
      <c r="M261" s="141"/>
      <c r="N261" s="141"/>
    </row>
    <row r="262" spans="1:14" ht="16" x14ac:dyDescent="0.2">
      <c r="A262" s="141"/>
      <c r="B262" s="141"/>
      <c r="C262" s="141"/>
      <c r="D262" s="141"/>
      <c r="E262" s="141"/>
      <c r="F262" s="141"/>
      <c r="G262" s="141"/>
      <c r="H262" s="141"/>
      <c r="I262" s="141"/>
      <c r="J262" s="141"/>
      <c r="K262" s="141"/>
      <c r="L262" s="141"/>
      <c r="M262" s="141"/>
      <c r="N262" s="141"/>
    </row>
    <row r="263" spans="1:14" ht="16" x14ac:dyDescent="0.2">
      <c r="A263" s="141"/>
      <c r="B263" s="141"/>
      <c r="C263" s="141"/>
      <c r="D263" s="141"/>
      <c r="E263" s="141"/>
      <c r="F263" s="141"/>
      <c r="G263" s="141"/>
      <c r="H263" s="141"/>
      <c r="I263" s="141"/>
      <c r="J263" s="141"/>
      <c r="K263" s="141"/>
      <c r="L263" s="141"/>
      <c r="M263" s="141"/>
      <c r="N263" s="141"/>
    </row>
    <row r="264" spans="1:14" ht="16" x14ac:dyDescent="0.2">
      <c r="A264" s="141"/>
      <c r="B264" s="141"/>
      <c r="C264" s="141"/>
      <c r="D264" s="141"/>
      <c r="E264" s="141"/>
      <c r="F264" s="141"/>
      <c r="G264" s="141"/>
      <c r="H264" s="141"/>
      <c r="I264" s="141"/>
      <c r="J264" s="141"/>
      <c r="K264" s="141"/>
      <c r="L264" s="141"/>
      <c r="M264" s="141"/>
      <c r="N264" s="141"/>
    </row>
    <row r="265" spans="1:14" ht="16" x14ac:dyDescent="0.2">
      <c r="A265" s="141"/>
      <c r="B265" s="141"/>
      <c r="C265" s="141"/>
      <c r="D265" s="141"/>
      <c r="E265" s="141"/>
      <c r="F265" s="141"/>
      <c r="G265" s="141"/>
      <c r="H265" s="141"/>
      <c r="I265" s="141"/>
      <c r="J265" s="141"/>
      <c r="K265" s="141"/>
      <c r="L265" s="141"/>
      <c r="M265" s="141"/>
      <c r="N265" s="141"/>
    </row>
    <row r="266" spans="1:14" ht="16" x14ac:dyDescent="0.2">
      <c r="A266" s="141"/>
      <c r="B266" s="141"/>
      <c r="C266" s="141"/>
      <c r="D266" s="141"/>
      <c r="E266" s="141"/>
      <c r="F266" s="141"/>
      <c r="G266" s="141"/>
      <c r="H266" s="141"/>
      <c r="I266" s="141"/>
      <c r="J266" s="141"/>
      <c r="K266" s="141"/>
      <c r="L266" s="141"/>
      <c r="M266" s="141"/>
      <c r="N266" s="141"/>
    </row>
    <row r="267" spans="1:14" ht="16" x14ac:dyDescent="0.2">
      <c r="A267" s="141"/>
      <c r="B267" s="141"/>
      <c r="C267" s="141"/>
      <c r="D267" s="141"/>
      <c r="E267" s="141"/>
      <c r="F267" s="141"/>
      <c r="G267" s="141"/>
      <c r="H267" s="141"/>
      <c r="I267" s="141"/>
      <c r="J267" s="141"/>
      <c r="K267" s="141"/>
      <c r="L267" s="141"/>
      <c r="M267" s="141"/>
      <c r="N267" s="141"/>
    </row>
    <row r="268" spans="1:14" ht="16" x14ac:dyDescent="0.2">
      <c r="A268" s="141"/>
      <c r="B268" s="141"/>
      <c r="C268" s="141"/>
      <c r="D268" s="141"/>
      <c r="E268" s="141"/>
      <c r="F268" s="141"/>
      <c r="G268" s="141"/>
      <c r="H268" s="141"/>
      <c r="I268" s="141"/>
      <c r="J268" s="141"/>
      <c r="K268" s="141"/>
      <c r="L268" s="141"/>
      <c r="M268" s="141"/>
      <c r="N268" s="141"/>
    </row>
    <row r="269" spans="1:14" ht="16" x14ac:dyDescent="0.2">
      <c r="A269" s="141"/>
      <c r="B269" s="141"/>
      <c r="C269" s="141"/>
      <c r="D269" s="141"/>
      <c r="E269" s="141"/>
      <c r="F269" s="141"/>
      <c r="G269" s="141"/>
      <c r="H269" s="141"/>
      <c r="I269" s="141"/>
      <c r="J269" s="141"/>
      <c r="K269" s="141"/>
      <c r="L269" s="141"/>
      <c r="M269" s="141"/>
      <c r="N269" s="141"/>
    </row>
    <row r="270" spans="1:14" ht="16" x14ac:dyDescent="0.2">
      <c r="A270" s="141"/>
      <c r="B270" s="141"/>
      <c r="C270" s="141"/>
      <c r="D270" s="141"/>
      <c r="E270" s="141"/>
      <c r="F270" s="141"/>
      <c r="G270" s="141"/>
      <c r="H270" s="141"/>
      <c r="I270" s="141"/>
      <c r="J270" s="141"/>
      <c r="K270" s="141"/>
      <c r="L270" s="141"/>
      <c r="M270" s="141"/>
      <c r="N270" s="141"/>
    </row>
    <row r="271" spans="1:14" ht="16" x14ac:dyDescent="0.2">
      <c r="A271" s="141"/>
      <c r="B271" s="141"/>
      <c r="C271" s="141"/>
      <c r="D271" s="141"/>
      <c r="E271" s="141"/>
      <c r="F271" s="141"/>
      <c r="G271" s="141"/>
      <c r="H271" s="141"/>
      <c r="I271" s="141"/>
      <c r="J271" s="141"/>
      <c r="K271" s="141"/>
      <c r="L271" s="141"/>
      <c r="M271" s="141"/>
      <c r="N271" s="141"/>
    </row>
    <row r="272" spans="1:14" ht="16" x14ac:dyDescent="0.2">
      <c r="A272" s="141"/>
      <c r="B272" s="141"/>
      <c r="C272" s="141"/>
      <c r="D272" s="141"/>
      <c r="E272" s="141"/>
      <c r="F272" s="141"/>
      <c r="G272" s="141"/>
      <c r="H272" s="141"/>
      <c r="I272" s="141"/>
      <c r="J272" s="141"/>
      <c r="K272" s="141"/>
      <c r="L272" s="141"/>
      <c r="M272" s="141"/>
      <c r="N272" s="141"/>
    </row>
    <row r="273" spans="1:14" ht="16" x14ac:dyDescent="0.2">
      <c r="A273" s="141"/>
      <c r="B273" s="141"/>
      <c r="C273" s="141"/>
      <c r="D273" s="141"/>
      <c r="E273" s="141"/>
      <c r="F273" s="141"/>
      <c r="G273" s="141"/>
      <c r="H273" s="141"/>
      <c r="I273" s="141"/>
      <c r="J273" s="141"/>
      <c r="K273" s="141"/>
      <c r="L273" s="141"/>
      <c r="M273" s="141"/>
      <c r="N273" s="141"/>
    </row>
    <row r="274" spans="1:14" ht="16" x14ac:dyDescent="0.2">
      <c r="A274" s="141"/>
      <c r="B274" s="141"/>
      <c r="C274" s="141"/>
      <c r="D274" s="141"/>
      <c r="E274" s="141"/>
      <c r="F274" s="141"/>
      <c r="G274" s="141"/>
      <c r="H274" s="141"/>
      <c r="I274" s="141"/>
      <c r="J274" s="141"/>
      <c r="K274" s="141"/>
      <c r="L274" s="141"/>
      <c r="M274" s="141"/>
      <c r="N274" s="141"/>
    </row>
    <row r="275" spans="1:14" ht="16" x14ac:dyDescent="0.2">
      <c r="A275" s="141"/>
      <c r="B275" s="141"/>
      <c r="C275" s="141"/>
      <c r="D275" s="141"/>
      <c r="E275" s="141"/>
      <c r="F275" s="141"/>
      <c r="G275" s="141"/>
      <c r="H275" s="141"/>
      <c r="I275" s="141"/>
      <c r="J275" s="141"/>
      <c r="K275" s="141"/>
      <c r="L275" s="141"/>
      <c r="M275" s="141"/>
      <c r="N275" s="141"/>
    </row>
    <row r="276" spans="1:14" ht="16" x14ac:dyDescent="0.2">
      <c r="A276" s="141"/>
      <c r="B276" s="141"/>
      <c r="C276" s="141"/>
      <c r="D276" s="141"/>
      <c r="E276" s="141"/>
      <c r="F276" s="141"/>
      <c r="G276" s="141"/>
      <c r="H276" s="141"/>
      <c r="I276" s="141"/>
      <c r="J276" s="141"/>
      <c r="K276" s="141"/>
      <c r="L276" s="141"/>
      <c r="M276" s="141"/>
      <c r="N276" s="141"/>
    </row>
    <row r="277" spans="1:14" ht="16" x14ac:dyDescent="0.2">
      <c r="A277" s="141"/>
      <c r="B277" s="141"/>
      <c r="C277" s="141"/>
      <c r="D277" s="141"/>
      <c r="E277" s="141"/>
      <c r="F277" s="150"/>
      <c r="G277" s="141"/>
      <c r="H277" s="141"/>
      <c r="I277" s="141"/>
      <c r="J277" s="141"/>
      <c r="K277" s="141"/>
      <c r="L277" s="141"/>
      <c r="M277" s="141"/>
      <c r="N277" s="141"/>
    </row>
    <row r="278" spans="1:14" ht="16" x14ac:dyDescent="0.2">
      <c r="A278" s="141"/>
      <c r="B278" s="141"/>
      <c r="C278" s="141"/>
      <c r="D278" s="141"/>
      <c r="E278" s="141"/>
      <c r="F278" s="150"/>
      <c r="G278" s="141"/>
      <c r="H278" s="141"/>
      <c r="I278" s="141"/>
      <c r="J278" s="141"/>
      <c r="K278" s="141"/>
      <c r="L278" s="141"/>
      <c r="M278" s="141"/>
      <c r="N278" s="141"/>
    </row>
    <row r="279" spans="1:14" ht="16" x14ac:dyDescent="0.2">
      <c r="A279" s="141"/>
      <c r="B279" s="141"/>
      <c r="C279" s="141"/>
      <c r="D279" s="141"/>
      <c r="E279" s="141"/>
      <c r="F279" s="141"/>
      <c r="G279" s="141"/>
      <c r="H279" s="141"/>
      <c r="I279" s="141"/>
      <c r="J279" s="141"/>
      <c r="K279" s="141"/>
      <c r="L279" s="141"/>
      <c r="M279" s="141"/>
      <c r="N279" s="141"/>
    </row>
    <row r="280" spans="1:14" ht="16" x14ac:dyDescent="0.2">
      <c r="A280" s="141"/>
      <c r="B280" s="141"/>
      <c r="C280" s="141"/>
      <c r="D280" s="141"/>
      <c r="E280" s="141"/>
      <c r="F280" s="146"/>
      <c r="G280" s="141"/>
      <c r="H280" s="141"/>
      <c r="I280" s="141"/>
      <c r="J280" s="141"/>
      <c r="K280" s="141"/>
      <c r="L280" s="141"/>
      <c r="M280" s="141"/>
      <c r="N280" s="141"/>
    </row>
    <row r="281" spans="1:14" ht="16" x14ac:dyDescent="0.2">
      <c r="A281" s="141"/>
      <c r="B281" s="141"/>
      <c r="C281" s="141"/>
      <c r="D281" s="141"/>
      <c r="E281" s="141"/>
      <c r="F281" s="146"/>
      <c r="G281" s="141"/>
      <c r="H281" s="141"/>
      <c r="I281" s="141"/>
      <c r="J281" s="141"/>
      <c r="K281" s="141"/>
      <c r="L281" s="141"/>
      <c r="M281" s="141"/>
      <c r="N281" s="141"/>
    </row>
    <row r="282" spans="1:14" ht="16" x14ac:dyDescent="0.2">
      <c r="A282" s="141"/>
      <c r="B282" s="141"/>
      <c r="C282" s="141"/>
      <c r="D282" s="141"/>
      <c r="E282" s="141"/>
      <c r="F282" s="141"/>
      <c r="G282" s="141"/>
      <c r="H282" s="141"/>
      <c r="I282" s="141"/>
      <c r="J282" s="141"/>
      <c r="K282" s="141"/>
      <c r="L282" s="141"/>
      <c r="M282" s="141"/>
      <c r="N282" s="141"/>
    </row>
    <row r="283" spans="1:14" ht="16" x14ac:dyDescent="0.2">
      <c r="A283" s="141"/>
      <c r="B283" s="141"/>
      <c r="C283" s="141"/>
      <c r="D283" s="141"/>
      <c r="E283" s="141"/>
      <c r="F283" s="150"/>
      <c r="G283" s="141"/>
      <c r="H283" s="141"/>
      <c r="I283" s="141"/>
      <c r="J283" s="141"/>
      <c r="K283" s="141"/>
      <c r="L283" s="141"/>
      <c r="M283" s="141"/>
      <c r="N283" s="141"/>
    </row>
    <row r="284" spans="1:14" ht="16" x14ac:dyDescent="0.2">
      <c r="A284" s="141"/>
      <c r="B284" s="141"/>
      <c r="C284" s="141"/>
      <c r="D284" s="141"/>
      <c r="E284" s="141"/>
      <c r="F284" s="141"/>
      <c r="G284" s="141"/>
      <c r="H284" s="141"/>
      <c r="I284" s="141"/>
      <c r="J284" s="141"/>
      <c r="K284" s="141"/>
      <c r="L284" s="141"/>
      <c r="M284" s="141"/>
      <c r="N284" s="141"/>
    </row>
    <row r="285" spans="1:14" ht="16" x14ac:dyDescent="0.2">
      <c r="A285" s="141"/>
      <c r="B285" s="141"/>
      <c r="C285" s="141"/>
      <c r="D285" s="141"/>
      <c r="E285" s="141"/>
      <c r="F285" s="141"/>
      <c r="G285" s="141"/>
      <c r="H285" s="141"/>
      <c r="I285" s="141"/>
      <c r="J285" s="141"/>
      <c r="K285" s="141"/>
      <c r="L285" s="141"/>
      <c r="M285" s="141"/>
      <c r="N285" s="141"/>
    </row>
    <row r="286" spans="1:14" ht="16" x14ac:dyDescent="0.2">
      <c r="A286" s="141"/>
      <c r="B286" s="141"/>
      <c r="C286" s="141"/>
      <c r="D286" s="141"/>
      <c r="E286" s="141"/>
      <c r="F286" s="143"/>
      <c r="G286" s="141"/>
      <c r="H286" s="141"/>
      <c r="I286" s="141"/>
      <c r="J286" s="141"/>
      <c r="K286" s="141"/>
      <c r="L286" s="141"/>
      <c r="M286" s="141"/>
      <c r="N286" s="141"/>
    </row>
    <row r="287" spans="1:14" ht="16" x14ac:dyDescent="0.2">
      <c r="A287" s="141"/>
      <c r="B287" s="141"/>
      <c r="C287" s="141"/>
      <c r="D287" s="141"/>
      <c r="E287" s="141"/>
      <c r="F287" s="143"/>
      <c r="G287" s="141"/>
      <c r="H287" s="141"/>
      <c r="I287" s="141"/>
      <c r="J287" s="141"/>
      <c r="K287" s="141"/>
      <c r="L287" s="141"/>
      <c r="M287" s="141"/>
      <c r="N287" s="141"/>
    </row>
    <row r="288" spans="1:14" ht="16" x14ac:dyDescent="0.2">
      <c r="A288" s="141"/>
      <c r="B288" s="141"/>
      <c r="C288" s="141"/>
      <c r="D288" s="141"/>
      <c r="E288" s="141"/>
      <c r="F288" s="143"/>
      <c r="G288" s="141"/>
      <c r="H288" s="141"/>
      <c r="I288" s="141"/>
      <c r="J288" s="141"/>
      <c r="K288" s="141"/>
      <c r="L288" s="141"/>
      <c r="M288" s="141"/>
      <c r="N288" s="141"/>
    </row>
    <row r="289" spans="1:14" ht="16" x14ac:dyDescent="0.2">
      <c r="A289" s="141"/>
      <c r="B289" s="141"/>
      <c r="C289" s="141"/>
      <c r="D289" s="141"/>
      <c r="E289" s="141"/>
      <c r="F289" s="141"/>
      <c r="G289" s="141"/>
      <c r="H289" s="141"/>
      <c r="I289" s="141"/>
      <c r="J289" s="141"/>
      <c r="K289" s="141"/>
      <c r="L289" s="141"/>
      <c r="M289" s="141"/>
      <c r="N289" s="141"/>
    </row>
    <row r="290" spans="1:14" ht="16" x14ac:dyDescent="0.2">
      <c r="A290" s="141"/>
      <c r="B290" s="141"/>
      <c r="C290" s="141"/>
      <c r="D290" s="141"/>
      <c r="E290" s="141"/>
      <c r="F290" s="141"/>
      <c r="G290" s="141"/>
      <c r="H290" s="141"/>
      <c r="I290" s="141"/>
      <c r="J290" s="141"/>
      <c r="K290" s="141"/>
      <c r="L290" s="141"/>
      <c r="M290" s="141"/>
      <c r="N290" s="141"/>
    </row>
    <row r="291" spans="1:14" ht="16" x14ac:dyDescent="0.2">
      <c r="A291" s="141"/>
      <c r="B291" s="141"/>
      <c r="C291" s="141"/>
      <c r="D291" s="141"/>
      <c r="E291" s="141"/>
      <c r="F291" s="141"/>
      <c r="G291" s="141"/>
      <c r="H291" s="141"/>
      <c r="I291" s="141"/>
      <c r="J291" s="141"/>
      <c r="K291" s="141"/>
      <c r="L291" s="141"/>
      <c r="M291" s="141"/>
      <c r="N291" s="141"/>
    </row>
    <row r="292" spans="1:14" ht="16" x14ac:dyDescent="0.2">
      <c r="A292" s="141"/>
      <c r="B292" s="141"/>
      <c r="C292" s="141"/>
      <c r="D292" s="141"/>
      <c r="E292" s="141"/>
      <c r="F292" s="141"/>
      <c r="G292" s="141"/>
      <c r="H292" s="141"/>
      <c r="I292" s="141"/>
      <c r="J292" s="141"/>
      <c r="K292" s="141"/>
      <c r="L292" s="141"/>
      <c r="M292" s="141"/>
      <c r="N292" s="141"/>
    </row>
    <row r="293" spans="1:14" ht="16" x14ac:dyDescent="0.2">
      <c r="A293" s="141"/>
      <c r="B293" s="141"/>
      <c r="C293" s="141"/>
      <c r="D293" s="141"/>
      <c r="E293" s="141"/>
      <c r="F293" s="141"/>
      <c r="G293" s="141"/>
      <c r="H293" s="141"/>
      <c r="I293" s="141"/>
      <c r="J293" s="141"/>
      <c r="K293" s="141"/>
      <c r="L293" s="141"/>
      <c r="M293" s="141"/>
      <c r="N293" s="141"/>
    </row>
    <row r="294" spans="1:14" ht="16" x14ac:dyDescent="0.2">
      <c r="A294" s="141"/>
      <c r="B294" s="141"/>
      <c r="C294" s="141"/>
      <c r="D294" s="141"/>
      <c r="E294" s="141"/>
      <c r="F294" s="141"/>
      <c r="G294" s="141"/>
      <c r="H294" s="141"/>
      <c r="I294" s="141"/>
      <c r="J294" s="141"/>
      <c r="K294" s="141"/>
      <c r="L294" s="141"/>
      <c r="M294" s="141"/>
      <c r="N294" s="141"/>
    </row>
    <row r="295" spans="1:14" ht="16" x14ac:dyDescent="0.2">
      <c r="A295" s="141"/>
      <c r="B295" s="141"/>
      <c r="C295" s="141"/>
      <c r="D295" s="141"/>
      <c r="E295" s="141"/>
      <c r="F295" s="146"/>
      <c r="G295" s="141"/>
      <c r="H295" s="141"/>
      <c r="I295" s="141"/>
      <c r="J295" s="141"/>
      <c r="K295" s="141"/>
      <c r="L295" s="141"/>
      <c r="M295" s="141"/>
      <c r="N295" s="141"/>
    </row>
    <row r="296" spans="1:14" ht="16" x14ac:dyDescent="0.2">
      <c r="A296" s="141"/>
      <c r="B296" s="141"/>
      <c r="C296" s="141"/>
      <c r="D296" s="141"/>
      <c r="E296" s="141"/>
      <c r="F296" s="146"/>
      <c r="G296" s="141"/>
      <c r="H296" s="141"/>
      <c r="I296" s="141"/>
      <c r="J296" s="141"/>
      <c r="K296" s="141"/>
      <c r="L296" s="141"/>
      <c r="M296" s="141"/>
      <c r="N296" s="141"/>
    </row>
    <row r="297" spans="1:14" ht="16" x14ac:dyDescent="0.2">
      <c r="A297" s="141"/>
      <c r="B297" s="141"/>
      <c r="C297" s="141"/>
      <c r="D297" s="141"/>
      <c r="E297" s="141"/>
      <c r="F297" s="141"/>
      <c r="G297" s="141"/>
      <c r="H297" s="141"/>
      <c r="I297" s="141"/>
      <c r="J297" s="141"/>
      <c r="K297" s="141"/>
      <c r="L297" s="141"/>
      <c r="M297" s="141"/>
      <c r="N297" s="141"/>
    </row>
    <row r="298" spans="1:14" ht="16" x14ac:dyDescent="0.2">
      <c r="A298" s="141"/>
      <c r="B298" s="141"/>
      <c r="C298" s="141"/>
      <c r="D298" s="141"/>
      <c r="E298" s="141"/>
      <c r="F298" s="153"/>
      <c r="G298" s="141"/>
      <c r="H298" s="141"/>
      <c r="I298" s="141"/>
      <c r="J298" s="141"/>
      <c r="K298" s="141"/>
      <c r="L298" s="141"/>
      <c r="M298" s="141"/>
      <c r="N298" s="141"/>
    </row>
    <row r="299" spans="1:14" ht="16" x14ac:dyDescent="0.2">
      <c r="A299" s="141"/>
      <c r="B299" s="141"/>
      <c r="C299" s="141"/>
      <c r="D299" s="141"/>
      <c r="E299" s="141"/>
      <c r="F299" s="153"/>
      <c r="G299" s="141"/>
      <c r="H299" s="141"/>
      <c r="I299" s="141"/>
      <c r="J299" s="141"/>
      <c r="K299" s="141"/>
      <c r="L299" s="141"/>
      <c r="M299" s="141"/>
      <c r="N299" s="141"/>
    </row>
    <row r="300" spans="1:14" ht="16" x14ac:dyDescent="0.2">
      <c r="A300" s="141"/>
      <c r="B300" s="141"/>
      <c r="C300" s="141"/>
      <c r="D300" s="141"/>
      <c r="E300" s="141"/>
      <c r="F300" s="141"/>
      <c r="G300" s="141"/>
      <c r="H300" s="141"/>
      <c r="I300" s="141"/>
      <c r="J300" s="141"/>
      <c r="K300" s="141"/>
      <c r="L300" s="141"/>
      <c r="M300" s="141"/>
      <c r="N300" s="141"/>
    </row>
    <row r="301" spans="1:14" ht="16" x14ac:dyDescent="0.2">
      <c r="A301" s="141"/>
      <c r="B301" s="141"/>
      <c r="C301" s="141"/>
      <c r="D301" s="141"/>
      <c r="E301" s="141"/>
      <c r="F301" s="141"/>
      <c r="G301" s="141"/>
      <c r="H301" s="141"/>
      <c r="I301" s="141"/>
      <c r="J301" s="141"/>
      <c r="K301" s="141"/>
      <c r="L301" s="141"/>
      <c r="M301" s="141"/>
      <c r="N301" s="141"/>
    </row>
    <row r="302" spans="1:14" ht="16" x14ac:dyDescent="0.2">
      <c r="A302" s="141"/>
      <c r="B302" s="141"/>
      <c r="C302" s="141"/>
      <c r="D302" s="141"/>
      <c r="E302" s="141"/>
      <c r="F302" s="141"/>
      <c r="G302" s="141"/>
      <c r="H302" s="141"/>
      <c r="I302" s="141"/>
      <c r="J302" s="141"/>
      <c r="K302" s="141"/>
      <c r="L302" s="141"/>
      <c r="M302" s="141"/>
      <c r="N302" s="141"/>
    </row>
    <row r="303" spans="1:14" ht="16" x14ac:dyDescent="0.2">
      <c r="A303" s="141"/>
      <c r="B303" s="141"/>
      <c r="C303" s="141"/>
      <c r="D303" s="141"/>
      <c r="E303" s="141"/>
      <c r="F303" s="141"/>
      <c r="G303" s="141"/>
      <c r="H303" s="141"/>
      <c r="I303" s="141"/>
      <c r="J303" s="141"/>
      <c r="K303" s="141"/>
      <c r="L303" s="141"/>
      <c r="M303" s="141"/>
      <c r="N303" s="141"/>
    </row>
    <row r="304" spans="1:14" ht="16" x14ac:dyDescent="0.2">
      <c r="A304" s="141"/>
      <c r="B304" s="141"/>
      <c r="C304" s="141"/>
      <c r="D304" s="141"/>
      <c r="E304" s="141"/>
      <c r="F304" s="141"/>
      <c r="G304" s="141"/>
      <c r="H304" s="141"/>
      <c r="I304" s="141"/>
      <c r="J304" s="141"/>
      <c r="K304" s="141"/>
      <c r="L304" s="141"/>
      <c r="M304" s="141"/>
      <c r="N304" s="141"/>
    </row>
    <row r="305" spans="1:14" ht="16" x14ac:dyDescent="0.2">
      <c r="A305" s="141"/>
      <c r="B305" s="141"/>
      <c r="C305" s="141"/>
      <c r="D305" s="141"/>
      <c r="E305" s="141"/>
      <c r="F305" s="141"/>
      <c r="G305" s="141"/>
      <c r="H305" s="141"/>
      <c r="I305" s="141"/>
      <c r="J305" s="141"/>
      <c r="K305" s="141"/>
      <c r="L305" s="141"/>
      <c r="M305" s="141"/>
      <c r="N305" s="141"/>
    </row>
    <row r="306" spans="1:14" ht="16" x14ac:dyDescent="0.2">
      <c r="A306" s="141"/>
      <c r="B306" s="141"/>
      <c r="C306" s="141"/>
      <c r="D306" s="141"/>
      <c r="E306" s="141"/>
      <c r="F306" s="143"/>
      <c r="G306" s="141"/>
      <c r="H306" s="141"/>
      <c r="I306" s="141"/>
      <c r="J306" s="141"/>
      <c r="K306" s="141"/>
      <c r="L306" s="141"/>
      <c r="M306" s="141"/>
      <c r="N306" s="141"/>
    </row>
    <row r="307" spans="1:14" ht="16" x14ac:dyDescent="0.2">
      <c r="A307" s="141"/>
      <c r="B307" s="141"/>
      <c r="C307" s="141"/>
      <c r="D307" s="141"/>
      <c r="E307" s="141"/>
      <c r="F307" s="141"/>
      <c r="G307" s="141"/>
      <c r="H307" s="141"/>
      <c r="I307" s="141"/>
      <c r="J307" s="141"/>
      <c r="K307" s="141"/>
      <c r="L307" s="141"/>
      <c r="M307" s="141"/>
      <c r="N307" s="141"/>
    </row>
    <row r="308" spans="1:14" ht="16" x14ac:dyDescent="0.2">
      <c r="A308" s="141"/>
      <c r="B308" s="141"/>
      <c r="C308" s="141"/>
      <c r="D308" s="141"/>
      <c r="E308" s="141"/>
      <c r="F308" s="151"/>
      <c r="G308" s="141"/>
      <c r="H308" s="141"/>
      <c r="I308" s="141"/>
      <c r="J308" s="141"/>
      <c r="K308" s="141"/>
      <c r="L308" s="141"/>
      <c r="M308" s="141"/>
      <c r="N308" s="141"/>
    </row>
    <row r="309" spans="1:14" ht="16" x14ac:dyDescent="0.2">
      <c r="A309" s="141"/>
      <c r="B309" s="141"/>
      <c r="C309" s="141"/>
      <c r="D309" s="141"/>
      <c r="E309" s="141"/>
      <c r="F309" s="146"/>
      <c r="G309" s="141"/>
      <c r="H309" s="141"/>
      <c r="I309" s="141"/>
      <c r="J309" s="141"/>
      <c r="K309" s="141"/>
      <c r="L309" s="141"/>
      <c r="M309" s="141"/>
      <c r="N309" s="141"/>
    </row>
    <row r="310" spans="1:14" ht="16" x14ac:dyDescent="0.2">
      <c r="A310" s="141"/>
      <c r="B310" s="141"/>
      <c r="C310" s="141"/>
      <c r="D310" s="141"/>
      <c r="E310" s="141"/>
      <c r="F310" s="141"/>
      <c r="G310" s="141"/>
      <c r="H310" s="141"/>
      <c r="I310" s="141"/>
      <c r="J310" s="141"/>
      <c r="K310" s="141"/>
      <c r="L310" s="141"/>
      <c r="M310" s="141"/>
      <c r="N310" s="141"/>
    </row>
    <row r="311" spans="1:14" ht="16" x14ac:dyDescent="0.2">
      <c r="A311" s="141"/>
      <c r="B311" s="141"/>
      <c r="C311" s="141"/>
      <c r="D311" s="141"/>
      <c r="E311" s="141"/>
      <c r="F311" s="141"/>
      <c r="G311" s="141"/>
      <c r="H311" s="141"/>
      <c r="I311" s="141"/>
      <c r="J311" s="141"/>
      <c r="K311" s="141"/>
      <c r="L311" s="141"/>
      <c r="M311" s="141"/>
      <c r="N311" s="141"/>
    </row>
    <row r="312" spans="1:14" ht="16" x14ac:dyDescent="0.2">
      <c r="A312" s="141"/>
      <c r="B312" s="141"/>
      <c r="C312" s="141"/>
      <c r="D312" s="141"/>
      <c r="E312" s="141"/>
      <c r="F312" s="141"/>
      <c r="G312" s="141"/>
      <c r="H312" s="141"/>
      <c r="I312" s="141"/>
      <c r="J312" s="141"/>
      <c r="K312" s="141"/>
      <c r="L312" s="141"/>
      <c r="M312" s="141"/>
      <c r="N312" s="141"/>
    </row>
    <row r="313" spans="1:14" ht="16" x14ac:dyDescent="0.2">
      <c r="A313" s="141"/>
      <c r="B313" s="141"/>
      <c r="C313" s="141"/>
      <c r="D313" s="141"/>
      <c r="E313" s="141"/>
      <c r="F313" s="141"/>
      <c r="G313" s="141"/>
      <c r="H313" s="141"/>
      <c r="I313" s="141"/>
      <c r="J313" s="141"/>
      <c r="K313" s="141"/>
      <c r="L313" s="141"/>
      <c r="M313" s="141"/>
      <c r="N313" s="141"/>
    </row>
    <row r="314" spans="1:14" ht="16" x14ac:dyDescent="0.2">
      <c r="A314" s="141"/>
      <c r="B314" s="141"/>
      <c r="C314" s="141"/>
      <c r="D314" s="141"/>
      <c r="E314" s="141"/>
      <c r="F314" s="141"/>
      <c r="G314" s="141"/>
      <c r="H314" s="141"/>
      <c r="I314" s="141"/>
      <c r="J314" s="141"/>
      <c r="K314" s="141"/>
      <c r="L314" s="141"/>
      <c r="M314" s="141"/>
      <c r="N314" s="141"/>
    </row>
    <row r="315" spans="1:14" ht="16" x14ac:dyDescent="0.2">
      <c r="A315" s="141"/>
      <c r="B315" s="141"/>
      <c r="C315" s="141"/>
      <c r="D315" s="141"/>
      <c r="E315" s="141"/>
      <c r="F315" s="141"/>
      <c r="G315" s="141"/>
      <c r="H315" s="141"/>
      <c r="I315" s="141"/>
      <c r="J315" s="141"/>
      <c r="K315" s="141"/>
      <c r="L315" s="141"/>
      <c r="M315" s="141"/>
      <c r="N315" s="141"/>
    </row>
    <row r="316" spans="1:14" ht="16" x14ac:dyDescent="0.2">
      <c r="A316" s="141"/>
      <c r="B316" s="141"/>
      <c r="C316" s="141"/>
      <c r="D316" s="141"/>
      <c r="E316" s="141"/>
      <c r="F316" s="141"/>
      <c r="G316" s="141"/>
      <c r="H316" s="141"/>
      <c r="I316" s="141"/>
      <c r="J316" s="141"/>
      <c r="K316" s="141"/>
      <c r="L316" s="141"/>
      <c r="M316" s="141"/>
      <c r="N316" s="141"/>
    </row>
    <row r="317" spans="1:14" ht="16" x14ac:dyDescent="0.2">
      <c r="A317" s="141"/>
      <c r="B317" s="141"/>
      <c r="C317" s="141"/>
      <c r="D317" s="141"/>
      <c r="E317" s="141"/>
      <c r="F317" s="141"/>
      <c r="G317" s="141"/>
      <c r="H317" s="141"/>
      <c r="I317" s="141"/>
      <c r="J317" s="141"/>
      <c r="K317" s="141"/>
      <c r="L317" s="141"/>
      <c r="M317" s="141"/>
      <c r="N317" s="141"/>
    </row>
    <row r="318" spans="1:14" ht="16" x14ac:dyDescent="0.2">
      <c r="A318" s="141"/>
      <c r="B318" s="141"/>
      <c r="C318" s="141"/>
      <c r="D318" s="142"/>
      <c r="E318" s="141"/>
      <c r="F318" s="141"/>
      <c r="G318" s="141"/>
      <c r="H318" s="146"/>
      <c r="I318" s="141"/>
      <c r="J318" s="141"/>
      <c r="K318" s="141"/>
      <c r="L318" s="141"/>
      <c r="M318" s="141"/>
      <c r="N318" s="141"/>
    </row>
    <row r="319" spans="1:14" ht="16" x14ac:dyDescent="0.2">
      <c r="A319" s="141"/>
      <c r="B319" s="141"/>
      <c r="C319" s="141"/>
      <c r="D319" s="141"/>
      <c r="E319" s="141"/>
      <c r="F319" s="141"/>
      <c r="G319" s="141"/>
      <c r="H319" s="141"/>
      <c r="I319" s="141"/>
      <c r="J319" s="141"/>
      <c r="K319" s="141"/>
      <c r="L319" s="141"/>
      <c r="M319" s="141"/>
      <c r="N319" s="141"/>
    </row>
    <row r="320" spans="1:14" ht="16" x14ac:dyDescent="0.2">
      <c r="A320" s="141"/>
      <c r="B320" s="141"/>
      <c r="C320" s="141"/>
      <c r="D320" s="141"/>
      <c r="E320" s="141"/>
      <c r="F320" s="141"/>
      <c r="G320" s="141"/>
      <c r="H320" s="141"/>
      <c r="I320" s="141"/>
      <c r="J320" s="141"/>
      <c r="K320" s="141"/>
      <c r="L320" s="141"/>
      <c r="M320" s="141"/>
      <c r="N320" s="141"/>
    </row>
    <row r="321" spans="1:14" ht="16" x14ac:dyDescent="0.2">
      <c r="A321" s="141"/>
      <c r="B321" s="141"/>
      <c r="C321" s="141"/>
      <c r="D321" s="141"/>
      <c r="E321" s="141"/>
      <c r="F321" s="141"/>
      <c r="G321" s="141"/>
      <c r="H321" s="141"/>
      <c r="I321" s="141"/>
      <c r="J321" s="141"/>
      <c r="K321" s="141"/>
      <c r="L321" s="141"/>
      <c r="M321" s="141"/>
      <c r="N321" s="141"/>
    </row>
    <row r="322" spans="1:14" ht="16" x14ac:dyDescent="0.2">
      <c r="A322" s="141"/>
      <c r="B322" s="141"/>
      <c r="C322" s="141"/>
      <c r="D322" s="141"/>
      <c r="E322" s="141"/>
      <c r="F322" s="141"/>
      <c r="G322" s="141"/>
      <c r="H322" s="141"/>
      <c r="I322" s="141"/>
      <c r="J322" s="141"/>
      <c r="K322" s="141"/>
      <c r="L322" s="141"/>
      <c r="M322" s="141"/>
      <c r="N322" s="141"/>
    </row>
    <row r="323" spans="1:14" ht="16" x14ac:dyDescent="0.2">
      <c r="A323" s="141"/>
      <c r="B323" s="141"/>
      <c r="C323" s="141"/>
      <c r="D323" s="142"/>
      <c r="E323" s="141"/>
      <c r="F323" s="141"/>
      <c r="G323" s="141"/>
      <c r="H323" s="141"/>
      <c r="I323" s="141"/>
      <c r="J323" s="141"/>
      <c r="K323" s="141"/>
      <c r="L323" s="141"/>
      <c r="M323" s="141"/>
      <c r="N323" s="141"/>
    </row>
    <row r="324" spans="1:14" ht="16" x14ac:dyDescent="0.2">
      <c r="A324" s="141"/>
      <c r="B324" s="141"/>
      <c r="C324" s="141"/>
      <c r="D324" s="141"/>
      <c r="E324" s="141"/>
      <c r="F324" s="141"/>
      <c r="G324" s="141"/>
      <c r="H324" s="141"/>
      <c r="I324" s="141"/>
      <c r="J324" s="141"/>
      <c r="K324" s="141"/>
      <c r="L324" s="141"/>
      <c r="M324" s="141"/>
      <c r="N324" s="141"/>
    </row>
    <row r="325" spans="1:14" ht="16" x14ac:dyDescent="0.2">
      <c r="A325" s="141"/>
      <c r="B325" s="141"/>
      <c r="C325" s="141"/>
      <c r="D325" s="141"/>
      <c r="E325" s="141"/>
      <c r="F325" s="141"/>
      <c r="G325" s="141"/>
      <c r="H325" s="141"/>
      <c r="I325" s="141"/>
      <c r="J325" s="141"/>
      <c r="K325" s="141"/>
      <c r="L325" s="141"/>
      <c r="M325" s="141"/>
      <c r="N325" s="141"/>
    </row>
    <row r="326" spans="1:14" ht="16" x14ac:dyDescent="0.2">
      <c r="A326" s="141"/>
      <c r="B326" s="141"/>
      <c r="C326" s="141"/>
      <c r="D326" s="141"/>
      <c r="E326" s="141"/>
      <c r="F326" s="141"/>
      <c r="G326" s="141"/>
      <c r="H326" s="141"/>
      <c r="I326" s="141"/>
      <c r="J326" s="141"/>
      <c r="K326" s="141"/>
      <c r="L326" s="141"/>
      <c r="M326" s="141"/>
      <c r="N326" s="141"/>
    </row>
    <row r="327" spans="1:14" ht="16" x14ac:dyDescent="0.2">
      <c r="A327" s="141"/>
      <c r="B327" s="141"/>
      <c r="C327" s="141"/>
      <c r="D327" s="141"/>
      <c r="E327" s="141"/>
      <c r="F327" s="141"/>
      <c r="G327" s="141"/>
      <c r="H327" s="141"/>
      <c r="I327" s="141"/>
      <c r="J327" s="141"/>
      <c r="K327" s="141"/>
      <c r="L327" s="141"/>
      <c r="M327" s="141"/>
      <c r="N327" s="141"/>
    </row>
    <row r="328" spans="1:14" ht="16" x14ac:dyDescent="0.2">
      <c r="A328" s="141"/>
      <c r="B328" s="141"/>
      <c r="C328" s="141"/>
      <c r="D328" s="141"/>
      <c r="E328" s="141"/>
      <c r="F328" s="141"/>
      <c r="G328" s="141"/>
      <c r="H328" s="141"/>
      <c r="I328" s="141"/>
      <c r="J328" s="141"/>
      <c r="K328" s="141"/>
      <c r="L328" s="141"/>
      <c r="M328" s="141"/>
      <c r="N328" s="141"/>
    </row>
    <row r="329" spans="1:14" ht="16" x14ac:dyDescent="0.2">
      <c r="A329" s="141"/>
      <c r="B329" s="141"/>
      <c r="C329" s="141"/>
      <c r="D329" s="141"/>
      <c r="E329" s="141"/>
      <c r="F329" s="146"/>
      <c r="G329" s="141"/>
      <c r="H329" s="141"/>
      <c r="I329" s="141"/>
      <c r="J329" s="141"/>
      <c r="K329" s="141"/>
      <c r="L329" s="141"/>
      <c r="M329" s="141"/>
      <c r="N329" s="141"/>
    </row>
    <row r="330" spans="1:14" ht="16" x14ac:dyDescent="0.2">
      <c r="A330" s="141"/>
      <c r="B330" s="141"/>
      <c r="C330" s="141"/>
      <c r="D330" s="141"/>
      <c r="E330" s="141"/>
      <c r="F330" s="143"/>
      <c r="G330" s="141"/>
      <c r="H330" s="141"/>
      <c r="I330" s="141"/>
      <c r="J330" s="141"/>
      <c r="K330" s="141"/>
      <c r="L330" s="141"/>
      <c r="M330" s="141"/>
      <c r="N330" s="141"/>
    </row>
    <row r="331" spans="1:14" ht="16" x14ac:dyDescent="0.2">
      <c r="A331" s="141"/>
      <c r="B331" s="141"/>
      <c r="C331" s="141"/>
      <c r="D331" s="141"/>
      <c r="E331" s="141"/>
      <c r="F331" s="144"/>
      <c r="G331" s="141"/>
      <c r="H331" s="141"/>
      <c r="I331" s="141"/>
      <c r="J331" s="141"/>
      <c r="K331" s="141"/>
      <c r="L331" s="141"/>
      <c r="M331" s="141"/>
      <c r="N331" s="141"/>
    </row>
    <row r="332" spans="1:14" ht="16" x14ac:dyDescent="0.2">
      <c r="A332" s="141"/>
      <c r="B332" s="141"/>
      <c r="C332" s="141"/>
      <c r="D332" s="141"/>
      <c r="E332" s="141"/>
      <c r="F332" s="141"/>
      <c r="G332" s="141"/>
      <c r="H332" s="141"/>
      <c r="I332" s="141"/>
      <c r="J332" s="141"/>
      <c r="K332" s="141"/>
      <c r="L332" s="141"/>
      <c r="M332" s="141"/>
      <c r="N332" s="141"/>
    </row>
    <row r="333" spans="1:14" ht="16" x14ac:dyDescent="0.2">
      <c r="A333" s="141"/>
      <c r="B333" s="141"/>
      <c r="C333" s="141"/>
      <c r="D333" s="141"/>
      <c r="E333" s="141"/>
      <c r="F333" s="141"/>
      <c r="G333" s="141"/>
      <c r="H333" s="141"/>
      <c r="I333" s="141"/>
      <c r="J333" s="141"/>
      <c r="K333" s="141"/>
      <c r="L333" s="141"/>
      <c r="M333" s="141"/>
      <c r="N333" s="141"/>
    </row>
    <row r="334" spans="1:14" ht="16" x14ac:dyDescent="0.2">
      <c r="A334" s="141"/>
      <c r="B334" s="141"/>
      <c r="C334" s="141"/>
      <c r="D334" s="141"/>
      <c r="E334" s="141"/>
      <c r="F334" s="141"/>
      <c r="G334" s="141"/>
      <c r="H334" s="141"/>
      <c r="I334" s="141"/>
      <c r="J334" s="141"/>
      <c r="K334" s="141"/>
      <c r="L334" s="141"/>
      <c r="M334" s="141"/>
      <c r="N334" s="141"/>
    </row>
    <row r="335" spans="1:14" ht="16" x14ac:dyDescent="0.2">
      <c r="A335" s="141"/>
      <c r="B335" s="141"/>
      <c r="C335" s="141"/>
      <c r="D335" s="141"/>
      <c r="E335" s="141"/>
      <c r="F335" s="141"/>
      <c r="G335" s="141"/>
      <c r="H335" s="141"/>
      <c r="I335" s="141"/>
      <c r="J335" s="141"/>
      <c r="K335" s="141"/>
      <c r="L335" s="141"/>
      <c r="M335" s="141"/>
      <c r="N335" s="141"/>
    </row>
    <row r="336" spans="1:14" ht="16" x14ac:dyDescent="0.2">
      <c r="A336" s="141"/>
      <c r="B336" s="141"/>
      <c r="C336" s="141"/>
      <c r="D336" s="141"/>
      <c r="E336" s="141"/>
      <c r="F336" s="141"/>
      <c r="G336" s="141"/>
      <c r="H336" s="141"/>
      <c r="I336" s="141"/>
      <c r="J336" s="141"/>
      <c r="K336" s="141"/>
      <c r="L336" s="141"/>
      <c r="M336" s="141"/>
      <c r="N336" s="141"/>
    </row>
    <row r="337" spans="1:14" ht="16" x14ac:dyDescent="0.2">
      <c r="A337" s="141"/>
      <c r="B337" s="141"/>
      <c r="C337" s="141"/>
      <c r="D337" s="141"/>
      <c r="E337" s="141"/>
      <c r="F337" s="141"/>
      <c r="G337" s="141"/>
      <c r="H337" s="141"/>
      <c r="I337" s="141"/>
      <c r="J337" s="141"/>
      <c r="K337" s="141"/>
      <c r="L337" s="141"/>
      <c r="M337" s="141"/>
      <c r="N337" s="141"/>
    </row>
    <row r="338" spans="1:14" ht="16" x14ac:dyDescent="0.2">
      <c r="A338" s="141"/>
      <c r="B338" s="141"/>
      <c r="C338" s="141"/>
      <c r="D338" s="141"/>
      <c r="E338" s="141"/>
      <c r="F338" s="141"/>
      <c r="G338" s="141"/>
      <c r="H338" s="141"/>
      <c r="I338" s="141"/>
      <c r="J338" s="141"/>
      <c r="K338" s="141"/>
      <c r="L338" s="141"/>
      <c r="M338" s="141"/>
      <c r="N338" s="141"/>
    </row>
    <row r="339" spans="1:14" ht="16" x14ac:dyDescent="0.2">
      <c r="A339" s="141"/>
      <c r="B339" s="141"/>
      <c r="C339" s="141"/>
      <c r="D339" s="141"/>
      <c r="E339" s="141"/>
      <c r="F339" s="141"/>
      <c r="G339" s="141"/>
      <c r="H339" s="141"/>
      <c r="I339" s="141"/>
      <c r="J339" s="141"/>
      <c r="K339" s="141"/>
      <c r="L339" s="141"/>
      <c r="M339" s="141"/>
      <c r="N339" s="141"/>
    </row>
    <row r="340" spans="1:14" ht="16" x14ac:dyDescent="0.2">
      <c r="A340" s="141"/>
      <c r="B340" s="141"/>
      <c r="C340" s="141"/>
      <c r="D340" s="141"/>
      <c r="E340" s="141"/>
      <c r="F340" s="141"/>
      <c r="G340" s="141"/>
      <c r="H340" s="141"/>
      <c r="I340" s="141"/>
      <c r="J340" s="141"/>
      <c r="K340" s="141"/>
      <c r="L340" s="141"/>
      <c r="M340" s="141"/>
      <c r="N340" s="141"/>
    </row>
    <row r="341" spans="1:14" ht="16" x14ac:dyDescent="0.2">
      <c r="A341" s="141"/>
      <c r="B341" s="141"/>
      <c r="C341" s="141"/>
      <c r="D341" s="141"/>
      <c r="E341" s="141"/>
      <c r="F341" s="141"/>
      <c r="G341" s="141"/>
      <c r="H341" s="141"/>
      <c r="I341" s="141"/>
      <c r="J341" s="141"/>
      <c r="K341" s="141"/>
      <c r="L341" s="141"/>
      <c r="M341" s="141"/>
      <c r="N341" s="141"/>
    </row>
    <row r="342" spans="1:14" ht="16" x14ac:dyDescent="0.2">
      <c r="A342" s="141"/>
      <c r="B342" s="141"/>
      <c r="C342" s="141"/>
      <c r="D342" s="141"/>
      <c r="E342" s="141"/>
      <c r="F342" s="141"/>
      <c r="G342" s="141"/>
      <c r="H342" s="141"/>
      <c r="I342" s="141"/>
      <c r="J342" s="141"/>
      <c r="K342" s="141"/>
      <c r="L342" s="141"/>
      <c r="M342" s="141"/>
      <c r="N342" s="141"/>
    </row>
    <row r="343" spans="1:14" ht="16" x14ac:dyDescent="0.2">
      <c r="A343" s="141"/>
      <c r="B343" s="141"/>
      <c r="C343" s="141"/>
      <c r="D343" s="142"/>
      <c r="E343" s="141"/>
      <c r="F343" s="141"/>
      <c r="G343" s="141"/>
      <c r="H343" s="141"/>
      <c r="I343" s="141"/>
      <c r="J343" s="141"/>
      <c r="K343" s="141"/>
      <c r="L343" s="141"/>
      <c r="M343" s="141"/>
      <c r="N343" s="141"/>
    </row>
    <row r="344" spans="1:14" ht="16" x14ac:dyDescent="0.2">
      <c r="A344" s="141"/>
      <c r="B344" s="141"/>
      <c r="C344" s="141"/>
      <c r="D344" s="142"/>
      <c r="E344" s="141"/>
      <c r="F344" s="141"/>
      <c r="G344" s="141"/>
      <c r="H344" s="141"/>
      <c r="I344" s="141"/>
      <c r="J344" s="141"/>
      <c r="K344" s="141"/>
      <c r="L344" s="141"/>
      <c r="M344" s="141"/>
      <c r="N344" s="141"/>
    </row>
    <row r="345" spans="1:14" ht="16" x14ac:dyDescent="0.2">
      <c r="A345" s="141"/>
      <c r="B345" s="141"/>
      <c r="C345" s="141"/>
      <c r="D345" s="141"/>
      <c r="E345" s="141"/>
      <c r="F345" s="141"/>
      <c r="G345" s="141"/>
      <c r="H345" s="141"/>
      <c r="I345" s="141"/>
      <c r="J345" s="141"/>
      <c r="K345" s="141"/>
      <c r="L345" s="141"/>
      <c r="M345" s="141"/>
      <c r="N345" s="141"/>
    </row>
    <row r="346" spans="1:14" ht="16" x14ac:dyDescent="0.2">
      <c r="A346" s="141"/>
      <c r="B346" s="141"/>
      <c r="C346" s="141"/>
      <c r="D346" s="141"/>
      <c r="E346" s="141"/>
      <c r="F346" s="141"/>
      <c r="G346" s="141"/>
      <c r="H346" s="141"/>
      <c r="I346" s="141"/>
      <c r="J346" s="141"/>
      <c r="K346" s="141"/>
      <c r="L346" s="141"/>
      <c r="M346" s="141"/>
      <c r="N346" s="141"/>
    </row>
    <row r="347" spans="1:14" ht="16" x14ac:dyDescent="0.2">
      <c r="A347" s="141"/>
      <c r="B347" s="141"/>
      <c r="C347" s="141"/>
      <c r="D347" s="141"/>
      <c r="E347" s="141"/>
      <c r="F347" s="141"/>
      <c r="G347" s="141"/>
      <c r="H347" s="141"/>
      <c r="I347" s="141"/>
      <c r="J347" s="141"/>
      <c r="K347" s="141"/>
      <c r="L347" s="141"/>
      <c r="M347" s="141"/>
      <c r="N347" s="141"/>
    </row>
    <row r="348" spans="1:14" ht="16" x14ac:dyDescent="0.2">
      <c r="A348" s="141"/>
      <c r="B348" s="141"/>
      <c r="C348" s="141"/>
      <c r="D348" s="141"/>
      <c r="E348" s="141"/>
      <c r="F348" s="141"/>
      <c r="G348" s="141"/>
      <c r="H348" s="141"/>
      <c r="I348" s="141"/>
      <c r="J348" s="141"/>
      <c r="K348" s="141"/>
      <c r="L348" s="141"/>
      <c r="M348" s="141"/>
      <c r="N348" s="141"/>
    </row>
    <row r="349" spans="1:14" ht="16" x14ac:dyDescent="0.2">
      <c r="A349" s="141"/>
      <c r="B349" s="141"/>
      <c r="C349" s="141"/>
      <c r="D349" s="141"/>
      <c r="E349" s="141"/>
      <c r="F349" s="141"/>
      <c r="G349" s="141"/>
      <c r="H349" s="141"/>
      <c r="I349" s="141"/>
      <c r="J349" s="141"/>
      <c r="K349" s="141"/>
      <c r="L349" s="141"/>
      <c r="M349" s="141"/>
      <c r="N349" s="141"/>
    </row>
    <row r="350" spans="1:14" ht="16" x14ac:dyDescent="0.2">
      <c r="A350" s="141"/>
      <c r="B350" s="141"/>
      <c r="C350" s="141"/>
      <c r="D350" s="141"/>
      <c r="E350" s="141"/>
      <c r="F350" s="141"/>
      <c r="G350" s="141"/>
      <c r="H350" s="141"/>
      <c r="I350" s="141"/>
      <c r="J350" s="141"/>
      <c r="K350" s="141"/>
      <c r="L350" s="141"/>
      <c r="M350" s="141"/>
      <c r="N350" s="141"/>
    </row>
    <row r="351" spans="1:14" ht="16" x14ac:dyDescent="0.2">
      <c r="A351" s="141"/>
      <c r="B351" s="141"/>
      <c r="C351" s="141"/>
      <c r="D351" s="141"/>
      <c r="E351" s="141"/>
      <c r="F351" s="141"/>
      <c r="G351" s="141"/>
      <c r="H351" s="141"/>
      <c r="I351" s="141"/>
      <c r="J351" s="141"/>
      <c r="K351" s="141"/>
      <c r="L351" s="141"/>
      <c r="M351" s="141"/>
      <c r="N351" s="141"/>
    </row>
    <row r="352" spans="1:14" ht="16" x14ac:dyDescent="0.2">
      <c r="A352" s="141"/>
      <c r="B352" s="141"/>
      <c r="C352" s="141"/>
      <c r="D352" s="141"/>
      <c r="E352" s="141"/>
      <c r="F352" s="141"/>
      <c r="G352" s="141"/>
      <c r="H352" s="141"/>
      <c r="I352" s="141"/>
      <c r="J352" s="141"/>
      <c r="K352" s="141"/>
      <c r="L352" s="141"/>
      <c r="M352" s="141"/>
      <c r="N352" s="141"/>
    </row>
    <row r="353" spans="1:14" ht="16" x14ac:dyDescent="0.2">
      <c r="A353" s="141"/>
      <c r="B353" s="141"/>
      <c r="C353" s="141"/>
      <c r="D353" s="141"/>
      <c r="E353" s="141"/>
      <c r="F353" s="141"/>
      <c r="G353" s="141"/>
      <c r="H353" s="141"/>
      <c r="I353" s="141"/>
      <c r="J353" s="141"/>
      <c r="K353" s="141"/>
      <c r="L353" s="141"/>
      <c r="M353" s="141"/>
      <c r="N353" s="141"/>
    </row>
    <row r="354" spans="1:14" ht="16" x14ac:dyDescent="0.2">
      <c r="A354" s="141"/>
      <c r="B354" s="141"/>
      <c r="C354" s="141"/>
      <c r="D354" s="141"/>
      <c r="E354" s="141"/>
      <c r="F354" s="141"/>
      <c r="G354" s="141"/>
      <c r="H354" s="141"/>
      <c r="I354" s="141"/>
      <c r="J354" s="141"/>
      <c r="K354" s="141"/>
      <c r="L354" s="141"/>
      <c r="M354" s="141"/>
      <c r="N354" s="141"/>
    </row>
    <row r="355" spans="1:14" ht="16" x14ac:dyDescent="0.2">
      <c r="A355" s="141"/>
      <c r="B355" s="141"/>
      <c r="C355" s="141"/>
      <c r="D355" s="141"/>
      <c r="E355" s="141"/>
      <c r="F355" s="141"/>
      <c r="G355" s="141"/>
      <c r="H355" s="141"/>
      <c r="I355" s="141"/>
      <c r="J355" s="141"/>
      <c r="K355" s="141"/>
      <c r="L355" s="141"/>
      <c r="M355" s="141"/>
      <c r="N355" s="141"/>
    </row>
    <row r="356" spans="1:14" ht="16" x14ac:dyDescent="0.2">
      <c r="A356" s="141"/>
      <c r="B356" s="141"/>
      <c r="C356" s="141"/>
      <c r="D356" s="141"/>
      <c r="E356" s="141"/>
      <c r="F356" s="141"/>
      <c r="G356" s="141"/>
      <c r="H356" s="141"/>
      <c r="I356" s="141"/>
      <c r="J356" s="141"/>
      <c r="K356" s="141"/>
      <c r="L356" s="141"/>
      <c r="M356" s="141"/>
      <c r="N356" s="141"/>
    </row>
    <row r="357" spans="1:14" ht="16" x14ac:dyDescent="0.2">
      <c r="A357" s="141"/>
      <c r="B357" s="141"/>
      <c r="C357" s="141"/>
      <c r="D357" s="141"/>
      <c r="E357" s="141"/>
      <c r="F357" s="141"/>
      <c r="G357" s="141"/>
      <c r="H357" s="141"/>
      <c r="I357" s="141"/>
      <c r="J357" s="141"/>
      <c r="K357" s="141"/>
      <c r="L357" s="141"/>
      <c r="M357" s="141"/>
      <c r="N357" s="141"/>
    </row>
    <row r="358" spans="1:14" ht="16" x14ac:dyDescent="0.2">
      <c r="A358" s="141"/>
      <c r="B358" s="141"/>
      <c r="C358" s="141"/>
      <c r="D358" s="141"/>
      <c r="E358" s="141"/>
      <c r="F358" s="141"/>
      <c r="G358" s="141"/>
      <c r="H358" s="141"/>
      <c r="I358"/>
      <c r="J358" s="141"/>
      <c r="K358" s="141"/>
      <c r="L358" s="141"/>
      <c r="M358" s="141"/>
      <c r="N358" s="141"/>
    </row>
    <row r="359" spans="1:14" ht="16" x14ac:dyDescent="0.2">
      <c r="A359" s="141"/>
      <c r="B359" s="141"/>
      <c r="C359" s="141"/>
      <c r="D359" s="141"/>
      <c r="E359" s="141"/>
      <c r="F359" s="141"/>
      <c r="G359" s="141"/>
      <c r="H359" s="141"/>
      <c r="I359" s="141"/>
      <c r="J359" s="141"/>
      <c r="K359" s="141"/>
      <c r="L359" s="141"/>
      <c r="M359" s="141"/>
      <c r="N359" s="141"/>
    </row>
    <row r="360" spans="1:14" ht="16" x14ac:dyDescent="0.2">
      <c r="A360" s="141"/>
      <c r="B360" s="141"/>
      <c r="C360" s="141"/>
      <c r="D360" s="141"/>
      <c r="E360" s="141"/>
      <c r="F360" s="144"/>
      <c r="G360" s="141"/>
      <c r="I360" s="141"/>
      <c r="J360" s="141"/>
      <c r="K360" s="141"/>
      <c r="L360" s="141"/>
      <c r="M360" s="141"/>
      <c r="N360" s="141"/>
    </row>
    <row r="361" spans="1:14" ht="16" x14ac:dyDescent="0.2">
      <c r="A361" s="141"/>
      <c r="B361" s="141"/>
      <c r="C361" s="141"/>
      <c r="D361" s="141"/>
      <c r="E361" s="141"/>
      <c r="F361" s="141"/>
      <c r="G361" s="141"/>
      <c r="H361" s="141"/>
      <c r="I361" s="141"/>
      <c r="J361" s="141"/>
      <c r="K361" s="141"/>
      <c r="L361" s="141"/>
      <c r="M361" s="141"/>
      <c r="N361" s="141"/>
    </row>
    <row r="362" spans="1:14" ht="16" x14ac:dyDescent="0.2">
      <c r="A362" s="141"/>
      <c r="B362" s="141"/>
      <c r="C362" s="141"/>
      <c r="D362" s="141"/>
      <c r="E362" s="141"/>
      <c r="F362" s="141"/>
      <c r="G362" s="141"/>
      <c r="H362" s="141"/>
      <c r="I362" s="141"/>
      <c r="J362" s="141"/>
      <c r="K362" s="141"/>
      <c r="L362" s="141"/>
      <c r="M362" s="141"/>
      <c r="N362" s="141"/>
    </row>
    <row r="363" spans="1:14" ht="16" x14ac:dyDescent="0.2">
      <c r="A363" s="141"/>
      <c r="B363" s="141"/>
      <c r="C363" s="141"/>
      <c r="D363" s="141"/>
      <c r="E363" s="141"/>
      <c r="F363" s="141"/>
      <c r="G363" s="141"/>
      <c r="H363" s="141"/>
      <c r="I363" s="141"/>
      <c r="J363" s="141"/>
      <c r="K363" s="141"/>
      <c r="L363" s="141"/>
      <c r="M363" s="141"/>
      <c r="N363" s="141"/>
    </row>
    <row r="364" spans="1:14" ht="16" x14ac:dyDescent="0.2">
      <c r="A364" s="141"/>
      <c r="B364" s="141"/>
      <c r="C364" s="141"/>
      <c r="D364" s="141"/>
      <c r="E364" s="141"/>
      <c r="F364" s="141"/>
      <c r="G364" s="141"/>
      <c r="H364" s="141"/>
      <c r="I364" s="141"/>
      <c r="J364" s="141"/>
      <c r="K364" s="141"/>
      <c r="L364" s="141"/>
      <c r="M364" s="141"/>
      <c r="N364" s="141"/>
    </row>
    <row r="365" spans="1:14" ht="16" x14ac:dyDescent="0.2">
      <c r="A365" s="141"/>
      <c r="B365" s="141"/>
      <c r="C365" s="141"/>
      <c r="D365" s="141"/>
      <c r="E365" s="141"/>
      <c r="F365" s="141"/>
      <c r="G365" s="141"/>
      <c r="H365" s="141"/>
      <c r="I365" s="141"/>
      <c r="J365" s="141"/>
      <c r="K365" s="141"/>
      <c r="L365" s="141"/>
      <c r="M365" s="141"/>
      <c r="N365" s="141"/>
    </row>
    <row r="366" spans="1:14" ht="16" x14ac:dyDescent="0.2">
      <c r="A366" s="141"/>
      <c r="B366" s="141"/>
      <c r="C366" s="141"/>
      <c r="D366" s="141"/>
      <c r="E366" s="141"/>
      <c r="F366" s="141"/>
      <c r="G366" s="141"/>
      <c r="H366" s="141"/>
      <c r="I366" s="141"/>
      <c r="J366" s="141"/>
      <c r="K366" s="141"/>
      <c r="L366" s="141"/>
      <c r="M366" s="141"/>
      <c r="N366" s="141"/>
    </row>
    <row r="367" spans="1:14" ht="16" x14ac:dyDescent="0.2">
      <c r="A367" s="141"/>
      <c r="B367" s="141"/>
      <c r="C367" s="141"/>
      <c r="D367" s="141"/>
      <c r="E367" s="141"/>
      <c r="F367" s="141"/>
      <c r="G367" s="141"/>
      <c r="H367" s="141"/>
      <c r="I367" s="141"/>
      <c r="J367" s="141"/>
      <c r="K367" s="141"/>
      <c r="L367" s="141"/>
      <c r="M367" s="141"/>
      <c r="N367" s="141"/>
    </row>
    <row r="368" spans="1:14" ht="16" x14ac:dyDescent="0.2">
      <c r="A368" s="141"/>
      <c r="B368" s="141"/>
      <c r="C368" s="141"/>
      <c r="D368" s="141"/>
      <c r="E368" s="141"/>
      <c r="F368" s="141"/>
      <c r="G368" s="141"/>
      <c r="H368" s="141"/>
      <c r="I368" s="141"/>
      <c r="J368" s="141"/>
      <c r="K368" s="141"/>
      <c r="L368" s="141"/>
      <c r="M368" s="141"/>
      <c r="N368" s="141"/>
    </row>
    <row r="369" spans="1:14" ht="16" x14ac:dyDescent="0.2">
      <c r="A369" s="141"/>
      <c r="B369" s="141"/>
      <c r="C369" s="141"/>
      <c r="D369" s="141"/>
      <c r="E369" s="141"/>
      <c r="F369" s="141"/>
      <c r="G369" s="141"/>
      <c r="H369" s="141"/>
      <c r="I369" s="141"/>
      <c r="J369" s="141"/>
      <c r="K369" s="141"/>
      <c r="L369" s="141"/>
      <c r="M369" s="141"/>
      <c r="N369" s="141"/>
    </row>
    <row r="370" spans="1:14" ht="16" x14ac:dyDescent="0.2">
      <c r="A370" s="141"/>
      <c r="B370" s="141"/>
      <c r="C370" s="141"/>
      <c r="D370" s="141"/>
      <c r="E370" s="141"/>
      <c r="F370" s="141"/>
      <c r="G370" s="141"/>
      <c r="H370" s="141"/>
      <c r="I370" s="141"/>
      <c r="J370" s="141"/>
      <c r="K370" s="141"/>
      <c r="L370" s="141"/>
      <c r="M370" s="141"/>
      <c r="N370" s="141"/>
    </row>
    <row r="371" spans="1:14" ht="16" x14ac:dyDescent="0.2">
      <c r="A371" s="141"/>
      <c r="B371" s="141"/>
      <c r="C371" s="141"/>
      <c r="D371" s="141"/>
      <c r="E371" s="141"/>
      <c r="F371" s="141"/>
      <c r="G371" s="141"/>
      <c r="H371" s="141"/>
      <c r="I371" s="141"/>
      <c r="J371" s="141"/>
      <c r="K371" s="141"/>
      <c r="L371" s="141"/>
      <c r="M371" s="141"/>
      <c r="N371" s="141"/>
    </row>
    <row r="372" spans="1:14" ht="16" x14ac:dyDescent="0.2">
      <c r="A372" s="141"/>
      <c r="B372" s="141"/>
      <c r="C372" s="141"/>
      <c r="D372" s="141"/>
      <c r="E372" s="141"/>
      <c r="F372" s="141"/>
      <c r="G372" s="141"/>
      <c r="H372" s="141"/>
      <c r="I372" s="141"/>
      <c r="J372" s="141"/>
      <c r="K372" s="141"/>
      <c r="L372" s="141"/>
      <c r="M372" s="141"/>
      <c r="N372" s="141"/>
    </row>
    <row r="373" spans="1:14" ht="16" x14ac:dyDescent="0.2">
      <c r="A373" s="141"/>
      <c r="B373" s="141"/>
      <c r="C373" s="141"/>
      <c r="D373" s="141"/>
      <c r="E373" s="141"/>
      <c r="F373" s="144"/>
      <c r="G373" s="141"/>
      <c r="H373" s="141"/>
      <c r="I373" s="141"/>
      <c r="J373" s="141"/>
      <c r="K373" s="141"/>
      <c r="L373" s="141"/>
      <c r="M373" s="141"/>
      <c r="N373" s="141"/>
    </row>
    <row r="374" spans="1:14" ht="16" x14ac:dyDescent="0.2">
      <c r="A374" s="141"/>
      <c r="B374" s="141"/>
      <c r="C374" s="141"/>
      <c r="D374" s="141"/>
      <c r="E374" s="141"/>
      <c r="F374" s="141"/>
      <c r="G374" s="141"/>
      <c r="H374" s="141"/>
      <c r="I374" s="141"/>
      <c r="J374" s="141"/>
      <c r="K374" s="141"/>
      <c r="L374" s="141"/>
      <c r="M374" s="141"/>
      <c r="N374" s="141"/>
    </row>
    <row r="375" spans="1:14" ht="16" x14ac:dyDescent="0.2">
      <c r="A375" s="141"/>
      <c r="B375" s="141"/>
      <c r="C375" s="141"/>
      <c r="D375" s="141"/>
      <c r="E375" s="141"/>
      <c r="F375" s="141"/>
      <c r="G375" s="141"/>
      <c r="H375" s="141"/>
      <c r="I375" s="141"/>
      <c r="J375" s="141"/>
      <c r="K375" s="141"/>
      <c r="L375" s="141"/>
      <c r="M375" s="141"/>
      <c r="N375" s="141"/>
    </row>
    <row r="376" spans="1:14" ht="16" x14ac:dyDescent="0.2">
      <c r="A376" s="141"/>
      <c r="B376" s="141"/>
      <c r="C376" s="141"/>
      <c r="D376" s="141"/>
      <c r="E376" s="141"/>
      <c r="F376" s="141"/>
      <c r="G376" s="141"/>
      <c r="H376" s="141"/>
      <c r="I376" s="141"/>
      <c r="J376" s="141"/>
      <c r="K376" s="141"/>
      <c r="L376" s="141"/>
      <c r="M376" s="141"/>
      <c r="N376" s="141"/>
    </row>
    <row r="377" spans="1:14" ht="16" x14ac:dyDescent="0.2">
      <c r="A377" s="141"/>
      <c r="B377" s="141"/>
      <c r="C377" s="141"/>
      <c r="D377" s="141"/>
      <c r="E377" s="141"/>
      <c r="F377" s="141"/>
      <c r="G377" s="141"/>
      <c r="H377" s="141"/>
      <c r="I377" s="141"/>
      <c r="J377" s="141"/>
      <c r="K377" s="141"/>
      <c r="L377" s="141"/>
      <c r="M377" s="141"/>
      <c r="N377" s="141"/>
    </row>
    <row r="378" spans="1:14" ht="16" x14ac:dyDescent="0.2">
      <c r="A378" s="141"/>
      <c r="B378" s="141"/>
      <c r="C378" s="141"/>
      <c r="D378" s="141"/>
      <c r="E378" s="141"/>
      <c r="F378" s="141"/>
      <c r="G378" s="141"/>
      <c r="H378" s="141"/>
      <c r="I378" s="141"/>
      <c r="J378" s="141"/>
      <c r="K378" s="141"/>
      <c r="L378" s="141"/>
      <c r="M378" s="141"/>
      <c r="N378" s="141"/>
    </row>
    <row r="379" spans="1:14" ht="16" x14ac:dyDescent="0.2">
      <c r="A379" s="141"/>
      <c r="B379" s="141"/>
      <c r="C379" s="141"/>
      <c r="D379" s="141"/>
      <c r="E379" s="141"/>
      <c r="F379" s="141"/>
      <c r="G379" s="141"/>
      <c r="H379" s="141"/>
      <c r="I379" s="141"/>
      <c r="J379" s="141"/>
      <c r="K379" s="141"/>
      <c r="L379" s="141"/>
      <c r="M379" s="141"/>
      <c r="N379" s="141"/>
    </row>
    <row r="380" spans="1:14" ht="16" x14ac:dyDescent="0.2">
      <c r="A380" s="141"/>
      <c r="B380" s="141"/>
      <c r="C380" s="141"/>
      <c r="D380" s="141"/>
      <c r="E380" s="141"/>
      <c r="F380" s="141"/>
      <c r="G380" s="141"/>
      <c r="H380" s="141"/>
      <c r="I380" s="141"/>
      <c r="J380" s="141"/>
      <c r="K380" s="141"/>
      <c r="L380" s="141"/>
      <c r="M380" s="141"/>
      <c r="N380" s="141"/>
    </row>
    <row r="381" spans="1:14" ht="16" x14ac:dyDescent="0.2">
      <c r="A381" s="141"/>
      <c r="B381" s="141"/>
      <c r="C381" s="141"/>
      <c r="D381" s="141"/>
      <c r="E381" s="141"/>
      <c r="F381" s="141"/>
      <c r="G381" s="141"/>
      <c r="H381" s="141"/>
      <c r="I381" s="141"/>
      <c r="J381" s="141"/>
      <c r="K381" s="141"/>
      <c r="L381" s="141"/>
      <c r="M381" s="141"/>
      <c r="N381" s="141"/>
    </row>
    <row r="382" spans="1:14" ht="16" x14ac:dyDescent="0.2">
      <c r="A382" s="141"/>
      <c r="B382" s="141"/>
      <c r="C382" s="141"/>
      <c r="D382" s="141"/>
      <c r="E382" s="141"/>
      <c r="F382" s="141"/>
      <c r="G382" s="141"/>
      <c r="H382" s="141"/>
      <c r="I382" s="141"/>
      <c r="J382" s="141"/>
      <c r="K382" s="141"/>
      <c r="L382" s="141"/>
      <c r="M382" s="141"/>
      <c r="N382" s="141"/>
    </row>
    <row r="383" spans="1:14" ht="16" x14ac:dyDescent="0.2">
      <c r="A383" s="141"/>
      <c r="B383" s="141"/>
      <c r="C383" s="141"/>
      <c r="D383" s="141"/>
      <c r="E383" s="141"/>
      <c r="F383" s="141"/>
      <c r="G383" s="141"/>
      <c r="H383" s="141"/>
      <c r="I383" s="141"/>
      <c r="J383" s="141"/>
      <c r="K383" s="141"/>
      <c r="L383" s="141"/>
      <c r="M383" s="141"/>
      <c r="N383" s="141"/>
    </row>
    <row r="384" spans="1:14" ht="16" x14ac:dyDescent="0.2">
      <c r="A384" s="141"/>
      <c r="B384" s="141"/>
      <c r="C384" s="141"/>
      <c r="D384" s="141"/>
      <c r="E384" s="141"/>
      <c r="F384" s="141"/>
      <c r="G384" s="141"/>
      <c r="H384" s="141"/>
      <c r="I384" s="141"/>
      <c r="J384" s="141"/>
      <c r="K384" s="141"/>
      <c r="L384" s="141"/>
      <c r="M384" s="141"/>
      <c r="N384" s="141"/>
    </row>
    <row r="385" spans="1:14" ht="16" x14ac:dyDescent="0.2">
      <c r="A385" s="141"/>
      <c r="B385" s="141"/>
      <c r="C385" s="141"/>
      <c r="D385" s="141"/>
      <c r="E385" s="141"/>
      <c r="F385" s="141"/>
      <c r="G385" s="141"/>
      <c r="H385" s="141"/>
      <c r="I385" s="141"/>
      <c r="J385" s="141"/>
      <c r="K385" s="141"/>
      <c r="L385" s="141"/>
      <c r="M385" s="141"/>
      <c r="N385" s="141"/>
    </row>
    <row r="386" spans="1:14" ht="16" x14ac:dyDescent="0.2">
      <c r="A386" s="141"/>
      <c r="B386" s="141"/>
      <c r="C386" s="141"/>
      <c r="D386" s="141"/>
      <c r="E386" s="141"/>
      <c r="F386" s="141"/>
      <c r="G386" s="141"/>
      <c r="H386" s="141"/>
      <c r="I386" s="141"/>
      <c r="J386" s="141"/>
      <c r="K386" s="141"/>
      <c r="L386" s="141"/>
      <c r="M386" s="141"/>
      <c r="N386" s="141"/>
    </row>
    <row r="387" spans="1:14" ht="16" x14ac:dyDescent="0.2">
      <c r="A387" s="141"/>
      <c r="B387" s="141"/>
      <c r="C387" s="141"/>
      <c r="D387" s="141"/>
      <c r="E387" s="141"/>
      <c r="F387" s="141"/>
      <c r="G387" s="141"/>
      <c r="H387" s="141"/>
      <c r="I387" s="141"/>
      <c r="J387" s="141"/>
      <c r="K387" s="141"/>
      <c r="L387" s="141"/>
      <c r="M387" s="141"/>
      <c r="N387" s="141"/>
    </row>
    <row r="388" spans="1:14" ht="16" x14ac:dyDescent="0.2">
      <c r="A388" s="141"/>
      <c r="B388" s="141"/>
      <c r="C388" s="141"/>
      <c r="D388" s="141"/>
      <c r="E388" s="141"/>
      <c r="F388" s="141"/>
      <c r="G388" s="141"/>
      <c r="H388" s="141"/>
      <c r="I388" s="141"/>
      <c r="J388" s="141"/>
      <c r="K388" s="141"/>
      <c r="L388" s="141"/>
      <c r="M388" s="141"/>
      <c r="N388" s="141"/>
    </row>
    <row r="389" spans="1:14" ht="16" x14ac:dyDescent="0.2">
      <c r="A389" s="141"/>
      <c r="B389" s="141"/>
      <c r="C389" s="141"/>
      <c r="D389" s="141"/>
      <c r="E389" s="141"/>
      <c r="F389" s="141"/>
      <c r="G389" s="141"/>
      <c r="H389" s="141"/>
      <c r="I389" s="141"/>
      <c r="J389" s="141"/>
      <c r="K389" s="141"/>
      <c r="L389" s="141"/>
      <c r="M389" s="141"/>
      <c r="N389" s="141"/>
    </row>
    <row r="390" spans="1:14" ht="16" x14ac:dyDescent="0.2">
      <c r="A390" s="141"/>
      <c r="B390" s="141"/>
      <c r="C390" s="141"/>
      <c r="D390" s="141"/>
      <c r="E390" s="141"/>
      <c r="F390" s="141"/>
      <c r="G390" s="141"/>
      <c r="H390" s="141"/>
      <c r="I390" s="141"/>
      <c r="J390" s="141"/>
      <c r="K390" s="141"/>
      <c r="L390" s="141"/>
      <c r="M390" s="141"/>
      <c r="N390" s="141"/>
    </row>
    <row r="391" spans="1:14" ht="16" x14ac:dyDescent="0.2">
      <c r="A391" s="141"/>
      <c r="B391" s="141"/>
      <c r="C391" s="141"/>
      <c r="D391" s="141"/>
      <c r="E391" s="141"/>
      <c r="F391" s="141"/>
      <c r="G391" s="141"/>
      <c r="H391" s="141"/>
      <c r="I391" s="141"/>
      <c r="J391" s="141"/>
      <c r="K391" s="141"/>
      <c r="L391" s="141"/>
      <c r="M391" s="141"/>
      <c r="N391" s="141"/>
    </row>
    <row r="392" spans="1:14" ht="16" x14ac:dyDescent="0.2">
      <c r="A392" s="141"/>
      <c r="B392" s="141"/>
      <c r="C392" s="141"/>
      <c r="D392" s="141"/>
      <c r="E392" s="141"/>
      <c r="F392" s="141"/>
      <c r="G392" s="141"/>
      <c r="H392" s="141"/>
      <c r="I392" s="141"/>
      <c r="J392" s="141"/>
      <c r="K392" s="141"/>
      <c r="L392" s="141"/>
      <c r="M392" s="141"/>
      <c r="N392" s="141"/>
    </row>
    <row r="393" spans="1:14" ht="16" x14ac:dyDescent="0.2">
      <c r="A393" s="141"/>
      <c r="B393" s="141"/>
      <c r="C393" s="141"/>
      <c r="D393" s="141"/>
      <c r="E393" s="141"/>
      <c r="F393" s="141"/>
      <c r="G393" s="141"/>
      <c r="H393" s="141"/>
      <c r="I393" s="141"/>
      <c r="J393" s="141"/>
      <c r="K393" s="141"/>
      <c r="L393" s="141"/>
      <c r="M393" s="141"/>
      <c r="N393" s="141"/>
    </row>
    <row r="394" spans="1:14" ht="16" x14ac:dyDescent="0.2">
      <c r="A394" s="141"/>
      <c r="B394" s="141"/>
      <c r="C394" s="141"/>
      <c r="D394" s="141"/>
      <c r="E394" s="141"/>
      <c r="F394" s="141"/>
      <c r="G394" s="141"/>
      <c r="H394" s="141"/>
      <c r="I394" s="141"/>
      <c r="J394" s="141"/>
      <c r="K394" s="141"/>
      <c r="L394" s="141"/>
      <c r="M394" s="141"/>
      <c r="N394" s="141"/>
    </row>
    <row r="395" spans="1:14" ht="16" x14ac:dyDescent="0.2">
      <c r="A395" s="141"/>
      <c r="B395" s="141"/>
      <c r="C395" s="141"/>
      <c r="D395" s="141"/>
      <c r="E395" s="141"/>
      <c r="F395" s="141"/>
      <c r="G395" s="141"/>
      <c r="H395" s="141"/>
      <c r="I395" s="141"/>
      <c r="J395" s="141"/>
      <c r="K395" s="141"/>
      <c r="L395" s="141"/>
      <c r="M395" s="141"/>
      <c r="N395" s="141"/>
    </row>
    <row r="396" spans="1:14" ht="16" x14ac:dyDescent="0.2">
      <c r="A396" s="141"/>
      <c r="B396" s="141"/>
      <c r="C396" s="141"/>
      <c r="D396" s="141"/>
      <c r="E396" s="141"/>
      <c r="F396" s="141"/>
      <c r="G396" s="141"/>
      <c r="H396" s="141"/>
      <c r="I396" s="141"/>
      <c r="J396" s="141"/>
      <c r="K396" s="141"/>
      <c r="L396" s="141"/>
      <c r="M396" s="141"/>
      <c r="N396" s="141"/>
    </row>
    <row r="397" spans="1:14" ht="16" x14ac:dyDescent="0.2">
      <c r="A397" s="141"/>
      <c r="B397" s="141"/>
      <c r="C397" s="141"/>
      <c r="D397" s="141"/>
      <c r="E397" s="141"/>
      <c r="F397" s="141"/>
      <c r="G397" s="141"/>
      <c r="H397" s="141"/>
      <c r="I397" s="141"/>
      <c r="J397" s="141"/>
      <c r="K397" s="141"/>
      <c r="L397" s="141"/>
      <c r="M397" s="141"/>
      <c r="N397" s="141"/>
    </row>
    <row r="398" spans="1:14" ht="16" x14ac:dyDescent="0.2">
      <c r="A398" s="141"/>
      <c r="B398" s="141"/>
      <c r="C398" s="141"/>
      <c r="D398" s="141"/>
      <c r="E398" s="141"/>
      <c r="F398" s="141"/>
      <c r="G398" s="141"/>
      <c r="H398" s="141"/>
      <c r="I398" s="141"/>
      <c r="J398" s="141"/>
      <c r="K398" s="141"/>
      <c r="L398" s="141"/>
      <c r="M398" s="141"/>
      <c r="N398" s="141"/>
    </row>
    <row r="399" spans="1:14" ht="16" x14ac:dyDescent="0.2">
      <c r="A399" s="141"/>
      <c r="B399" s="141"/>
      <c r="C399" s="141"/>
      <c r="D399" s="141"/>
      <c r="E399" s="141"/>
      <c r="F399" s="141"/>
      <c r="G399" s="141"/>
      <c r="H399" s="141"/>
      <c r="I399" s="141"/>
      <c r="J399" s="141"/>
      <c r="K399" s="141"/>
      <c r="L399" s="141"/>
      <c r="M399" s="141"/>
      <c r="N399" s="141"/>
    </row>
    <row r="400" spans="1:14" ht="16" x14ac:dyDescent="0.2">
      <c r="A400" s="141"/>
      <c r="B400" s="141"/>
      <c r="C400" s="141"/>
      <c r="D400" s="141"/>
      <c r="E400" s="141"/>
      <c r="F400" s="141"/>
      <c r="G400" s="141"/>
      <c r="H400" s="141"/>
      <c r="I400" s="141"/>
      <c r="J400" s="141"/>
      <c r="K400" s="141"/>
      <c r="L400" s="141"/>
      <c r="M400" s="141"/>
      <c r="N400" s="141"/>
    </row>
    <row r="401" spans="1:14" ht="16" x14ac:dyDescent="0.2">
      <c r="A401" s="141"/>
      <c r="B401" s="141"/>
      <c r="C401" s="141"/>
      <c r="D401" s="142"/>
      <c r="E401" s="141"/>
      <c r="F401" s="141"/>
      <c r="G401" s="141"/>
      <c r="H401" s="141"/>
      <c r="I401" s="141"/>
      <c r="J401" s="141"/>
      <c r="K401" s="141"/>
      <c r="L401" s="141"/>
      <c r="M401" s="141"/>
      <c r="N401" s="141"/>
    </row>
    <row r="402" spans="1:14" ht="16" x14ac:dyDescent="0.2">
      <c r="A402" s="141"/>
      <c r="B402" s="141"/>
      <c r="C402" s="141"/>
      <c r="D402" s="141"/>
      <c r="E402" s="141"/>
      <c r="F402" s="141"/>
      <c r="G402" s="141"/>
      <c r="H402" s="141"/>
      <c r="I402" s="141"/>
      <c r="J402" s="141"/>
      <c r="K402" s="141"/>
      <c r="L402" s="141"/>
      <c r="M402" s="141"/>
      <c r="N402" s="141"/>
    </row>
    <row r="403" spans="1:14" ht="16" x14ac:dyDescent="0.2">
      <c r="A403" s="141"/>
      <c r="B403" s="141"/>
      <c r="C403" s="141"/>
      <c r="D403" s="141"/>
      <c r="E403" s="141"/>
      <c r="F403" s="141"/>
      <c r="G403" s="141"/>
      <c r="H403" s="141"/>
      <c r="I403" s="141"/>
      <c r="J403" s="141"/>
      <c r="K403" s="141"/>
      <c r="L403" s="141"/>
      <c r="M403" s="141"/>
      <c r="N403" s="141"/>
    </row>
    <row r="404" spans="1:14" ht="16" x14ac:dyDescent="0.2">
      <c r="A404" s="141"/>
      <c r="B404" s="141"/>
      <c r="C404" s="141"/>
      <c r="D404" s="141"/>
      <c r="E404" s="141"/>
      <c r="F404" s="141"/>
      <c r="G404" s="141"/>
      <c r="H404" s="141"/>
      <c r="I404" s="141"/>
      <c r="J404" s="141"/>
      <c r="K404" s="141"/>
      <c r="L404" s="141"/>
      <c r="M404" s="141"/>
      <c r="N404" s="141"/>
    </row>
    <row r="405" spans="1:14" ht="16" x14ac:dyDescent="0.2">
      <c r="A405" s="141"/>
      <c r="B405" s="141"/>
      <c r="C405" s="141"/>
      <c r="D405" s="141"/>
      <c r="E405" s="141"/>
      <c r="F405" s="141"/>
      <c r="G405" s="141"/>
      <c r="H405" s="141"/>
      <c r="I405" s="141"/>
      <c r="J405" s="141"/>
      <c r="K405" s="141"/>
      <c r="L405" s="141"/>
      <c r="M405" s="141"/>
      <c r="N405" s="141"/>
    </row>
    <row r="406" spans="1:14" ht="16" x14ac:dyDescent="0.2">
      <c r="A406" s="141"/>
      <c r="B406" s="141"/>
      <c r="C406" s="141"/>
      <c r="D406" s="141"/>
      <c r="E406" s="141"/>
      <c r="F406" s="141"/>
      <c r="G406" s="141"/>
      <c r="H406" s="141"/>
      <c r="I406" s="141"/>
      <c r="J406" s="141"/>
      <c r="K406" s="141"/>
      <c r="L406" s="141"/>
      <c r="M406" s="141"/>
      <c r="N406" s="141"/>
    </row>
    <row r="407" spans="1:14" ht="16" x14ac:dyDescent="0.2">
      <c r="A407" s="141"/>
      <c r="B407" s="141"/>
      <c r="C407" s="141"/>
      <c r="D407" s="141"/>
      <c r="E407" s="141"/>
      <c r="F407" s="141"/>
      <c r="G407" s="141"/>
      <c r="H407" s="141"/>
      <c r="I407" s="141"/>
      <c r="J407" s="141"/>
      <c r="K407" s="141"/>
      <c r="L407" s="141"/>
      <c r="M407" s="141"/>
      <c r="N407" s="141"/>
    </row>
    <row r="408" spans="1:14" ht="16" x14ac:dyDescent="0.2">
      <c r="A408" s="141"/>
      <c r="B408" s="141"/>
      <c r="C408" s="141"/>
      <c r="D408" s="141"/>
      <c r="E408" s="141"/>
      <c r="F408" s="141"/>
      <c r="G408" s="141"/>
      <c r="H408" s="141"/>
      <c r="I408" s="141"/>
      <c r="J408" s="141"/>
      <c r="K408" s="141"/>
      <c r="L408" s="141"/>
      <c r="M408" s="141"/>
      <c r="N408" s="141"/>
    </row>
    <row r="409" spans="1:14" ht="16" x14ac:dyDescent="0.2">
      <c r="A409" s="141"/>
      <c r="B409" s="141"/>
      <c r="C409" s="141"/>
      <c r="D409" s="142"/>
      <c r="E409" s="141"/>
      <c r="F409" s="155"/>
      <c r="G409" s="141"/>
      <c r="H409" s="146"/>
      <c r="I409" s="141"/>
      <c r="J409" s="141"/>
      <c r="K409" s="141"/>
      <c r="L409" s="141"/>
      <c r="M409" s="141"/>
      <c r="N409" s="141"/>
    </row>
    <row r="410" spans="1:14" ht="16" x14ac:dyDescent="0.2">
      <c r="A410" s="141"/>
      <c r="B410" s="141"/>
      <c r="C410" s="141"/>
      <c r="D410" s="141"/>
      <c r="E410" s="141"/>
      <c r="F410" s="141"/>
      <c r="G410" s="141"/>
      <c r="H410" s="141"/>
      <c r="I410" s="141"/>
      <c r="J410" s="141"/>
      <c r="K410" s="141"/>
      <c r="L410" s="141"/>
      <c r="M410" s="141"/>
      <c r="N410" s="141"/>
    </row>
    <row r="411" spans="1:14" ht="16" x14ac:dyDescent="0.2">
      <c r="A411" s="141"/>
      <c r="B411" s="141"/>
      <c r="C411" s="141"/>
      <c r="D411" s="141"/>
      <c r="E411" s="141"/>
      <c r="F411" s="141"/>
      <c r="G411" s="141"/>
      <c r="H411" s="141"/>
      <c r="I411" s="141"/>
      <c r="J411" s="141"/>
      <c r="K411" s="141"/>
      <c r="L411" s="141"/>
      <c r="M411" s="141"/>
      <c r="N411" s="141"/>
    </row>
    <row r="412" spans="1:14" ht="16" x14ac:dyDescent="0.2">
      <c r="A412" s="141"/>
      <c r="B412" s="141"/>
      <c r="C412" s="141"/>
      <c r="D412" s="142"/>
      <c r="E412" s="141"/>
      <c r="F412" s="150"/>
      <c r="G412" s="141"/>
      <c r="H412" s="141"/>
      <c r="I412" s="141"/>
      <c r="J412" s="141"/>
      <c r="K412" s="141"/>
      <c r="L412" s="141"/>
      <c r="M412" s="141"/>
      <c r="N412" s="141"/>
    </row>
    <row r="413" spans="1:14" ht="16" x14ac:dyDescent="0.2">
      <c r="A413" s="141"/>
      <c r="B413" s="141"/>
      <c r="C413" s="141"/>
      <c r="D413" s="141"/>
      <c r="E413" s="141"/>
      <c r="F413" s="141"/>
      <c r="G413" s="141"/>
      <c r="H413" s="141"/>
      <c r="I413" s="141"/>
      <c r="J413" s="141"/>
      <c r="K413" s="141"/>
      <c r="L413" s="141"/>
      <c r="M413" s="141"/>
      <c r="N413" s="141"/>
    </row>
    <row r="414" spans="1:14" ht="16" x14ac:dyDescent="0.2">
      <c r="A414" s="141"/>
      <c r="B414" s="141"/>
      <c r="C414" s="141"/>
      <c r="D414" s="141"/>
      <c r="E414" s="141"/>
      <c r="F414" s="144"/>
      <c r="G414" s="141"/>
      <c r="H414" s="141"/>
      <c r="I414" s="141"/>
      <c r="J414" s="141"/>
      <c r="K414" s="141"/>
      <c r="L414" s="141"/>
      <c r="M414" s="141"/>
      <c r="N414" s="141"/>
    </row>
    <row r="415" spans="1:14" ht="16" x14ac:dyDescent="0.2">
      <c r="A415" s="141"/>
      <c r="B415" s="141"/>
      <c r="C415" s="141"/>
      <c r="D415" s="141"/>
      <c r="E415" s="141"/>
      <c r="F415" s="141"/>
      <c r="G415" s="141"/>
      <c r="H415" s="141"/>
      <c r="I415" s="141"/>
      <c r="J415" s="141"/>
      <c r="K415" s="141"/>
      <c r="L415" s="141"/>
      <c r="M415" s="141"/>
      <c r="N415" s="141"/>
    </row>
    <row r="416" spans="1:14" ht="16" x14ac:dyDescent="0.2">
      <c r="A416" s="141"/>
      <c r="B416" s="141"/>
      <c r="C416" s="141"/>
      <c r="D416" s="142"/>
      <c r="E416" s="141"/>
      <c r="F416" s="155"/>
      <c r="G416" s="141"/>
      <c r="H416" s="146"/>
      <c r="I416" s="141"/>
      <c r="J416" s="141"/>
      <c r="K416" s="141"/>
      <c r="L416" s="141"/>
      <c r="M416" s="141"/>
      <c r="N416" s="141"/>
    </row>
    <row r="417" spans="1:14" ht="16" x14ac:dyDescent="0.2">
      <c r="A417" s="141"/>
      <c r="B417" s="141"/>
      <c r="C417" s="141"/>
      <c r="D417" s="141"/>
      <c r="E417" s="141"/>
      <c r="F417" s="141"/>
      <c r="G417" s="141"/>
      <c r="H417" s="141"/>
      <c r="I417" s="141"/>
      <c r="J417" s="141"/>
      <c r="K417" s="141"/>
      <c r="L417" s="141"/>
      <c r="M417" s="141"/>
      <c r="N417" s="141"/>
    </row>
    <row r="418" spans="1:14" ht="16" x14ac:dyDescent="0.2">
      <c r="A418" s="141"/>
      <c r="B418" s="141"/>
      <c r="C418" s="141"/>
      <c r="D418" s="141"/>
      <c r="E418" s="141"/>
      <c r="F418" s="141"/>
      <c r="G418" s="141"/>
      <c r="H418" s="141"/>
      <c r="I418" s="141"/>
      <c r="J418" s="141"/>
      <c r="K418" s="141"/>
      <c r="L418" s="141"/>
      <c r="M418" s="141"/>
      <c r="N418" s="141"/>
    </row>
    <row r="419" spans="1:14" ht="16" x14ac:dyDescent="0.2">
      <c r="A419" s="141"/>
      <c r="B419" s="141"/>
      <c r="C419" s="141"/>
      <c r="D419" s="141"/>
      <c r="E419" s="141"/>
      <c r="F419" s="150"/>
      <c r="G419" s="141"/>
      <c r="H419" s="141"/>
      <c r="I419" s="141"/>
      <c r="J419" s="141"/>
      <c r="K419" s="141"/>
      <c r="L419" s="141"/>
      <c r="M419" s="141"/>
      <c r="N419" s="141"/>
    </row>
    <row r="420" spans="1:14" ht="16" x14ac:dyDescent="0.2">
      <c r="A420" s="141"/>
      <c r="B420" s="141"/>
      <c r="C420" s="141"/>
      <c r="D420" s="141"/>
      <c r="E420" s="141"/>
      <c r="F420" s="141"/>
      <c r="G420" s="141"/>
      <c r="H420" s="141"/>
      <c r="I420" s="141"/>
      <c r="J420" s="141"/>
      <c r="K420" s="141"/>
      <c r="L420" s="141"/>
      <c r="M420" s="141"/>
      <c r="N420" s="141"/>
    </row>
    <row r="421" spans="1:14" ht="16" x14ac:dyDescent="0.2">
      <c r="A421" s="141"/>
      <c r="B421" s="141"/>
      <c r="C421" s="141"/>
      <c r="D421" s="141"/>
      <c r="E421" s="141"/>
      <c r="F421" s="150"/>
      <c r="G421" s="141"/>
      <c r="H421" s="141"/>
      <c r="I421" s="141"/>
      <c r="J421" s="141"/>
      <c r="K421" s="141"/>
      <c r="L421" s="141"/>
      <c r="M421" s="141"/>
      <c r="N421" s="141"/>
    </row>
    <row r="422" spans="1:14" ht="16" x14ac:dyDescent="0.2">
      <c r="A422" s="141"/>
      <c r="B422" s="141"/>
      <c r="C422" s="141"/>
      <c r="D422" s="141"/>
      <c r="E422" s="141"/>
      <c r="F422" s="141"/>
      <c r="G422" s="141"/>
      <c r="H422" s="141"/>
      <c r="I422" s="141"/>
      <c r="J422" s="141"/>
      <c r="K422" s="141"/>
      <c r="L422" s="141"/>
      <c r="M422" s="141"/>
      <c r="N422" s="141"/>
    </row>
    <row r="423" spans="1:14" ht="16" x14ac:dyDescent="0.2">
      <c r="A423" s="141"/>
      <c r="B423" s="141"/>
      <c r="C423" s="141"/>
      <c r="D423" s="141"/>
      <c r="E423" s="141"/>
      <c r="F423" s="149"/>
      <c r="G423" s="141"/>
      <c r="H423" s="141"/>
      <c r="I423" s="141"/>
      <c r="J423" s="141"/>
      <c r="K423" s="141"/>
      <c r="L423" s="141"/>
      <c r="M423" s="141"/>
      <c r="N423" s="141"/>
    </row>
    <row r="424" spans="1:14" ht="16" x14ac:dyDescent="0.2">
      <c r="A424" s="141"/>
      <c r="B424" s="141"/>
      <c r="C424" s="141"/>
      <c r="D424" s="141"/>
      <c r="E424" s="141"/>
      <c r="F424" s="141"/>
      <c r="G424" s="141"/>
      <c r="H424" s="141"/>
      <c r="I424" s="141"/>
      <c r="J424" s="141"/>
      <c r="K424" s="141"/>
      <c r="L424" s="141"/>
      <c r="M424" s="141"/>
      <c r="N424" s="141"/>
    </row>
    <row r="425" spans="1:14" ht="16" x14ac:dyDescent="0.2">
      <c r="A425" s="141"/>
      <c r="B425" s="141"/>
      <c r="C425" s="141"/>
      <c r="D425" s="141"/>
      <c r="E425" s="141"/>
      <c r="F425" s="141"/>
      <c r="G425" s="141"/>
      <c r="H425" s="141"/>
      <c r="I425" s="141"/>
      <c r="J425" s="141"/>
      <c r="K425" s="141"/>
      <c r="L425" s="141"/>
      <c r="M425" s="141"/>
      <c r="N425" s="141"/>
    </row>
    <row r="426" spans="1:14" ht="16" x14ac:dyDescent="0.2">
      <c r="A426" s="141"/>
      <c r="B426" s="141"/>
      <c r="C426" s="141"/>
      <c r="D426" s="141"/>
      <c r="E426" s="141"/>
      <c r="F426" s="141"/>
      <c r="G426" s="141"/>
      <c r="H426" s="141"/>
      <c r="I426" s="141"/>
      <c r="J426" s="141"/>
      <c r="K426" s="141"/>
      <c r="L426" s="141"/>
      <c r="M426" s="141"/>
      <c r="N426" s="141"/>
    </row>
    <row r="427" spans="1:14" ht="16" x14ac:dyDescent="0.2">
      <c r="A427" s="141"/>
      <c r="B427" s="141"/>
      <c r="C427" s="141"/>
      <c r="D427" s="141"/>
      <c r="E427" s="141"/>
      <c r="F427" s="141"/>
      <c r="G427" s="141"/>
      <c r="H427" s="141"/>
      <c r="I427" s="141"/>
      <c r="J427" s="141"/>
      <c r="K427" s="141"/>
      <c r="L427" s="141"/>
      <c r="M427" s="141"/>
      <c r="N427" s="141"/>
    </row>
    <row r="428" spans="1:14" ht="16" x14ac:dyDescent="0.2">
      <c r="A428" s="141"/>
      <c r="B428" s="141"/>
      <c r="C428" s="141"/>
      <c r="D428" s="141"/>
      <c r="E428" s="141"/>
      <c r="F428" s="141"/>
      <c r="G428" s="141"/>
      <c r="H428" s="141"/>
      <c r="I428" s="141"/>
      <c r="J428" s="141"/>
      <c r="K428" s="141"/>
      <c r="L428" s="141"/>
      <c r="M428" s="141"/>
      <c r="N428" s="141"/>
    </row>
    <row r="429" spans="1:14" ht="16" x14ac:dyDescent="0.2">
      <c r="A429" s="141"/>
      <c r="B429" s="141"/>
      <c r="C429" s="141"/>
      <c r="D429" s="141"/>
      <c r="E429" s="141"/>
      <c r="F429" s="141"/>
      <c r="G429" s="141"/>
      <c r="H429" s="141"/>
      <c r="I429" s="141"/>
      <c r="J429" s="141"/>
      <c r="K429" s="141"/>
      <c r="L429" s="141"/>
      <c r="M429" s="141"/>
      <c r="N429" s="141"/>
    </row>
    <row r="430" spans="1:14" ht="16" x14ac:dyDescent="0.2">
      <c r="A430" s="141"/>
      <c r="B430" s="141"/>
      <c r="C430" s="141"/>
      <c r="D430" s="141"/>
      <c r="E430" s="141"/>
      <c r="F430" s="141"/>
      <c r="G430" s="141"/>
      <c r="H430" s="141"/>
      <c r="I430" s="141"/>
      <c r="J430" s="141"/>
      <c r="K430" s="141"/>
      <c r="L430" s="141"/>
      <c r="M430" s="141"/>
      <c r="N430" s="141"/>
    </row>
    <row r="431" spans="1:14" ht="16" x14ac:dyDescent="0.2">
      <c r="A431" s="141"/>
      <c r="B431" s="141"/>
      <c r="C431" s="141"/>
      <c r="D431" s="141"/>
      <c r="E431" s="141"/>
      <c r="F431" s="141"/>
      <c r="G431" s="141"/>
      <c r="H431" s="141"/>
      <c r="I431" s="141"/>
      <c r="J431" s="141"/>
      <c r="K431" s="141"/>
      <c r="L431" s="141"/>
      <c r="M431" s="141"/>
      <c r="N431" s="141"/>
    </row>
    <row r="432" spans="1:14" ht="16" x14ac:dyDescent="0.2">
      <c r="A432" s="141"/>
      <c r="B432" s="141"/>
      <c r="C432" s="141"/>
      <c r="D432" s="141"/>
      <c r="E432" s="141"/>
      <c r="F432" s="151"/>
      <c r="G432" s="141"/>
      <c r="H432" s="141"/>
      <c r="I432" s="141"/>
      <c r="J432" s="141"/>
      <c r="K432" s="141"/>
      <c r="L432" s="141"/>
      <c r="M432" s="141"/>
      <c r="N432" s="141"/>
    </row>
    <row r="433" spans="1:14" ht="16" x14ac:dyDescent="0.2">
      <c r="A433" s="141"/>
      <c r="B433" s="141"/>
      <c r="C433" s="141"/>
      <c r="D433" s="141"/>
      <c r="E433" s="141"/>
      <c r="F433" s="141"/>
      <c r="G433" s="141"/>
      <c r="H433" s="141"/>
      <c r="I433" s="141"/>
      <c r="J433" s="141"/>
      <c r="K433" s="141"/>
      <c r="L433" s="141"/>
      <c r="M433" s="141"/>
      <c r="N433" s="141"/>
    </row>
    <row r="434" spans="1:14" ht="16" x14ac:dyDescent="0.2">
      <c r="A434" s="141"/>
      <c r="B434" s="141"/>
      <c r="C434" s="141"/>
      <c r="D434" s="141"/>
      <c r="E434" s="141"/>
      <c r="F434" s="141"/>
      <c r="G434" s="141"/>
      <c r="H434" s="141"/>
      <c r="I434" s="141"/>
      <c r="J434" s="141"/>
      <c r="K434" s="141"/>
      <c r="L434" s="141"/>
      <c r="M434" s="141"/>
      <c r="N434" s="141"/>
    </row>
    <row r="435" spans="1:14" ht="16" x14ac:dyDescent="0.2">
      <c r="A435" s="141"/>
      <c r="B435" s="141"/>
      <c r="C435" s="141"/>
      <c r="D435" s="141"/>
      <c r="E435" s="141"/>
      <c r="F435" s="141"/>
      <c r="G435" s="141"/>
      <c r="H435" s="141"/>
      <c r="I435" s="141"/>
      <c r="J435" s="141"/>
      <c r="K435" s="141"/>
      <c r="L435" s="141"/>
      <c r="M435" s="141"/>
      <c r="N435" s="141"/>
    </row>
    <row r="436" spans="1:14" ht="16" x14ac:dyDescent="0.2">
      <c r="A436" s="141"/>
      <c r="B436" s="141"/>
      <c r="C436" s="141"/>
      <c r="D436" s="141"/>
      <c r="E436" s="141"/>
      <c r="F436" s="141"/>
      <c r="G436" s="141"/>
      <c r="H436" s="141"/>
      <c r="I436" s="141"/>
      <c r="J436" s="141"/>
      <c r="K436" s="141"/>
      <c r="L436" s="141"/>
      <c r="M436" s="141"/>
      <c r="N436" s="141"/>
    </row>
    <row r="437" spans="1:14" ht="16" x14ac:dyDescent="0.2">
      <c r="A437" s="141"/>
      <c r="B437" s="141"/>
      <c r="C437" s="141"/>
      <c r="D437" s="141"/>
      <c r="E437" s="141"/>
      <c r="F437" s="141"/>
      <c r="G437" s="141"/>
      <c r="H437" s="141"/>
      <c r="I437" s="141"/>
      <c r="J437" s="141"/>
      <c r="K437" s="141"/>
      <c r="L437" s="141"/>
      <c r="M437" s="141"/>
      <c r="N437" s="141"/>
    </row>
    <row r="438" spans="1:14" ht="16" x14ac:dyDescent="0.2">
      <c r="A438" s="141"/>
      <c r="B438" s="141"/>
      <c r="C438" s="141"/>
      <c r="D438" s="141"/>
      <c r="E438" s="141"/>
      <c r="F438" s="141"/>
      <c r="G438" s="141"/>
      <c r="H438" s="141"/>
      <c r="I438" s="141"/>
      <c r="J438" s="141"/>
      <c r="K438" s="141"/>
      <c r="L438" s="141"/>
      <c r="M438" s="141"/>
      <c r="N438" s="141"/>
    </row>
    <row r="439" spans="1:14" ht="16" x14ac:dyDescent="0.2">
      <c r="A439" s="141"/>
      <c r="B439" s="141"/>
      <c r="C439" s="141"/>
      <c r="D439" s="141"/>
      <c r="E439" s="141"/>
      <c r="F439" s="141"/>
      <c r="G439" s="141"/>
      <c r="H439" s="141"/>
      <c r="I439" s="141"/>
      <c r="J439" s="141"/>
      <c r="K439" s="141"/>
      <c r="L439" s="141"/>
      <c r="M439" s="141"/>
      <c r="N439" s="141"/>
    </row>
    <row r="440" spans="1:14" ht="16" x14ac:dyDescent="0.2">
      <c r="A440" s="141"/>
      <c r="B440" s="141"/>
      <c r="C440" s="141"/>
      <c r="D440" s="141"/>
      <c r="E440" s="141"/>
      <c r="F440" s="141"/>
      <c r="G440" s="141"/>
      <c r="H440" s="141"/>
      <c r="I440" s="141"/>
      <c r="J440" s="141"/>
      <c r="K440" s="141"/>
      <c r="L440" s="141"/>
      <c r="M440" s="141"/>
      <c r="N440" s="141"/>
    </row>
    <row r="441" spans="1:14" ht="16" x14ac:dyDescent="0.2">
      <c r="A441" s="141"/>
      <c r="B441" s="141"/>
      <c r="C441" s="141"/>
      <c r="D441" s="141"/>
      <c r="E441" s="141"/>
      <c r="F441" s="141"/>
      <c r="G441" s="141"/>
      <c r="H441" s="141"/>
      <c r="I441" s="141"/>
      <c r="J441" s="141"/>
      <c r="K441" s="141"/>
      <c r="L441" s="141"/>
      <c r="M441" s="141"/>
      <c r="N441" s="141"/>
    </row>
    <row r="442" spans="1:14" ht="16" x14ac:dyDescent="0.2">
      <c r="A442" s="141"/>
      <c r="B442" s="141"/>
      <c r="C442" s="141"/>
      <c r="D442" s="141"/>
      <c r="E442" s="141"/>
      <c r="F442" s="141"/>
      <c r="G442" s="141"/>
      <c r="H442" s="141"/>
      <c r="I442" s="141"/>
      <c r="J442" s="141"/>
      <c r="K442" s="141"/>
      <c r="L442" s="141"/>
      <c r="M442" s="141"/>
      <c r="N442" s="141"/>
    </row>
    <row r="443" spans="1:14" ht="16" x14ac:dyDescent="0.2">
      <c r="A443" s="141"/>
      <c r="B443" s="141"/>
      <c r="C443" s="141"/>
      <c r="D443" s="141"/>
      <c r="E443" s="141"/>
      <c r="F443" s="141"/>
      <c r="G443" s="141"/>
      <c r="H443" s="141"/>
      <c r="I443" s="141"/>
      <c r="J443" s="141"/>
      <c r="K443" s="141"/>
      <c r="L443" s="141"/>
      <c r="M443" s="141"/>
      <c r="N443" s="141"/>
    </row>
    <row r="444" spans="1:14" ht="16" x14ac:dyDescent="0.2">
      <c r="A444" s="141"/>
      <c r="B444" s="141"/>
      <c r="C444" s="141"/>
      <c r="D444" s="141"/>
      <c r="E444" s="141"/>
      <c r="F444" s="141"/>
      <c r="G444" s="141"/>
      <c r="H444" s="141"/>
      <c r="I444" s="141"/>
      <c r="J444" s="141"/>
      <c r="K444" s="141"/>
      <c r="L444" s="141"/>
      <c r="M444" s="141"/>
      <c r="N444" s="141"/>
    </row>
    <row r="445" spans="1:14" ht="16" x14ac:dyDescent="0.2">
      <c r="A445" s="141"/>
      <c r="B445" s="141"/>
      <c r="C445" s="141"/>
      <c r="D445" s="141"/>
      <c r="E445" s="141"/>
      <c r="F445" s="141"/>
      <c r="G445" s="141"/>
      <c r="H445" s="141"/>
      <c r="I445" s="141"/>
      <c r="J445" s="141"/>
      <c r="K445" s="141"/>
      <c r="L445" s="141"/>
      <c r="M445" s="141"/>
      <c r="N445" s="141"/>
    </row>
    <row r="446" spans="1:14" ht="16" x14ac:dyDescent="0.2">
      <c r="A446" s="141"/>
      <c r="B446" s="141"/>
      <c r="C446" s="141"/>
      <c r="D446" s="141"/>
      <c r="E446" s="141"/>
      <c r="F446" s="141"/>
      <c r="G446" s="141"/>
      <c r="H446" s="141"/>
      <c r="I446" s="141"/>
      <c r="J446" s="141"/>
      <c r="K446" s="141"/>
      <c r="L446" s="141"/>
      <c r="M446" s="141"/>
      <c r="N446" s="141"/>
    </row>
    <row r="447" spans="1:14" ht="16" x14ac:dyDescent="0.2">
      <c r="A447" s="141"/>
      <c r="B447" s="141"/>
      <c r="C447" s="141"/>
      <c r="D447" s="141"/>
      <c r="E447" s="141"/>
      <c r="F447" s="141"/>
      <c r="G447" s="141"/>
      <c r="H447" s="141"/>
      <c r="I447" s="141"/>
      <c r="J447" s="141"/>
      <c r="K447" s="141"/>
      <c r="L447" s="141"/>
      <c r="M447" s="141"/>
      <c r="N447" s="141"/>
    </row>
    <row r="448" spans="1:14" ht="16" x14ac:dyDescent="0.2">
      <c r="A448" s="141"/>
      <c r="B448" s="141"/>
      <c r="C448" s="141"/>
      <c r="D448" s="141"/>
      <c r="E448" s="141"/>
      <c r="F448" s="141"/>
      <c r="G448" s="141"/>
      <c r="H448" s="141"/>
      <c r="I448" s="141"/>
      <c r="J448" s="141"/>
      <c r="K448" s="141"/>
      <c r="L448" s="141"/>
      <c r="M448" s="141"/>
      <c r="N448" s="141"/>
    </row>
    <row r="449" spans="1:14" ht="16" x14ac:dyDescent="0.2">
      <c r="A449" s="141"/>
      <c r="B449" s="141"/>
      <c r="C449" s="141"/>
      <c r="D449" s="141"/>
      <c r="E449" s="141"/>
      <c r="F449" s="141"/>
      <c r="G449" s="141"/>
      <c r="H449" s="141"/>
      <c r="I449" s="141"/>
      <c r="J449" s="141"/>
      <c r="K449" s="141"/>
      <c r="L449" s="141"/>
      <c r="M449" s="141"/>
      <c r="N449" s="141"/>
    </row>
    <row r="450" spans="1:14" ht="16" x14ac:dyDescent="0.2">
      <c r="A450" s="141"/>
      <c r="B450" s="141"/>
      <c r="C450" s="141"/>
      <c r="D450" s="141"/>
      <c r="E450" s="141"/>
      <c r="F450" s="141"/>
      <c r="G450" s="141"/>
      <c r="H450" s="141"/>
      <c r="I450" s="141"/>
      <c r="J450" s="141"/>
      <c r="K450" s="141"/>
      <c r="L450" s="141"/>
      <c r="M450" s="141"/>
      <c r="N450" s="141"/>
    </row>
    <row r="451" spans="1:14" ht="16" x14ac:dyDescent="0.2">
      <c r="A451" s="141"/>
      <c r="B451" s="141"/>
      <c r="C451" s="141"/>
      <c r="D451" s="141"/>
      <c r="E451" s="141"/>
      <c r="F451" s="141"/>
      <c r="G451" s="141"/>
      <c r="H451" s="141"/>
      <c r="I451" s="141"/>
      <c r="J451" s="141"/>
      <c r="K451" s="141"/>
      <c r="L451" s="141"/>
      <c r="M451" s="141"/>
      <c r="N451" s="141"/>
    </row>
    <row r="452" spans="1:14" ht="16" x14ac:dyDescent="0.2">
      <c r="A452" s="141"/>
      <c r="B452" s="141"/>
      <c r="C452" s="141"/>
      <c r="D452" s="141"/>
      <c r="E452" s="141"/>
      <c r="F452" s="141"/>
      <c r="G452" s="141"/>
      <c r="H452" s="141"/>
      <c r="I452" s="141"/>
      <c r="J452" s="141"/>
      <c r="K452" s="141"/>
      <c r="L452" s="141"/>
      <c r="M452" s="141"/>
      <c r="N452" s="141"/>
    </row>
    <row r="453" spans="1:14" ht="16" x14ac:dyDescent="0.2">
      <c r="A453" s="141"/>
      <c r="B453" s="141"/>
      <c r="C453" s="141"/>
      <c r="D453" s="141"/>
      <c r="E453" s="141"/>
      <c r="F453" s="141"/>
      <c r="G453" s="141"/>
      <c r="H453" s="141"/>
      <c r="I453" s="141"/>
      <c r="J453" s="141"/>
      <c r="K453" s="141"/>
      <c r="L453" s="141"/>
      <c r="M453" s="141"/>
      <c r="N453" s="141"/>
    </row>
    <row r="454" spans="1:14" ht="16" x14ac:dyDescent="0.2">
      <c r="A454" s="141"/>
      <c r="B454" s="141"/>
      <c r="C454" s="141"/>
      <c r="D454" s="141"/>
      <c r="E454" s="141"/>
      <c r="F454" s="141"/>
      <c r="G454" s="141"/>
      <c r="H454" s="141"/>
      <c r="I454" s="141"/>
      <c r="J454" s="141"/>
      <c r="K454" s="141"/>
      <c r="L454" s="141"/>
      <c r="M454" s="141"/>
      <c r="N454" s="141"/>
    </row>
    <row r="455" spans="1:14" ht="16" x14ac:dyDescent="0.2">
      <c r="A455" s="141"/>
      <c r="B455" s="141"/>
      <c r="C455" s="141"/>
      <c r="D455" s="141"/>
      <c r="E455" s="141"/>
      <c r="F455" s="141"/>
      <c r="G455" s="141"/>
      <c r="H455" s="141"/>
      <c r="I455" s="141"/>
      <c r="J455" s="141"/>
      <c r="K455" s="141"/>
      <c r="L455" s="141"/>
      <c r="M455" s="141"/>
      <c r="N455" s="141"/>
    </row>
    <row r="456" spans="1:14" ht="16" x14ac:dyDescent="0.2">
      <c r="A456" s="141"/>
      <c r="B456" s="141"/>
      <c r="C456" s="141"/>
      <c r="D456" s="141"/>
      <c r="E456" s="141"/>
      <c r="F456" s="141"/>
      <c r="G456" s="141"/>
      <c r="H456" s="141"/>
      <c r="I456" s="141"/>
      <c r="J456" s="141"/>
      <c r="K456" s="141"/>
      <c r="L456" s="141"/>
      <c r="M456" s="141"/>
      <c r="N456" s="141"/>
    </row>
    <row r="457" spans="1:14" ht="16" x14ac:dyDescent="0.2">
      <c r="A457" s="141"/>
      <c r="B457" s="141"/>
      <c r="C457" s="141"/>
      <c r="D457" s="141"/>
      <c r="E457" s="141"/>
      <c r="F457" s="141"/>
      <c r="G457" s="141"/>
      <c r="H457" s="141"/>
      <c r="I457" s="141"/>
      <c r="J457" s="141"/>
      <c r="K457" s="141"/>
      <c r="L457" s="141"/>
      <c r="M457" s="141"/>
      <c r="N457" s="141"/>
    </row>
    <row r="458" spans="1:14" ht="16" x14ac:dyDescent="0.2">
      <c r="A458" s="141"/>
      <c r="B458" s="141"/>
      <c r="C458" s="141"/>
      <c r="D458" s="141"/>
      <c r="E458" s="141"/>
      <c r="F458" s="141"/>
      <c r="G458" s="141"/>
      <c r="H458" s="141"/>
      <c r="I458" s="141"/>
      <c r="J458" s="141"/>
      <c r="K458" s="141"/>
      <c r="L458" s="141"/>
      <c r="M458" s="141"/>
      <c r="N458" s="141"/>
    </row>
    <row r="459" spans="1:14" ht="16" x14ac:dyDescent="0.2">
      <c r="A459" s="141"/>
      <c r="B459" s="141"/>
      <c r="C459" s="141"/>
      <c r="D459" s="141"/>
      <c r="E459" s="141"/>
      <c r="F459" s="141"/>
      <c r="G459" s="141"/>
      <c r="H459" s="141"/>
      <c r="I459" s="141"/>
      <c r="J459" s="141"/>
      <c r="K459" s="141"/>
      <c r="L459" s="141"/>
      <c r="M459" s="141"/>
      <c r="N459" s="141"/>
    </row>
    <row r="460" spans="1:14" ht="16" x14ac:dyDescent="0.2">
      <c r="A460" s="141"/>
      <c r="B460" s="141"/>
      <c r="C460" s="141"/>
      <c r="D460" s="141"/>
      <c r="E460" s="141"/>
      <c r="F460" s="141"/>
      <c r="G460" s="141"/>
      <c r="H460" s="141"/>
      <c r="I460" s="141"/>
      <c r="J460" s="141"/>
      <c r="K460" s="141"/>
      <c r="L460" s="141"/>
      <c r="M460" s="141"/>
      <c r="N460" s="141"/>
    </row>
    <row r="461" spans="1:14" ht="16" x14ac:dyDescent="0.2">
      <c r="A461" s="141"/>
      <c r="B461" s="141"/>
      <c r="C461" s="141"/>
      <c r="D461" s="141"/>
      <c r="E461" s="141"/>
      <c r="F461" s="141"/>
      <c r="G461" s="141"/>
      <c r="H461" s="141"/>
      <c r="I461" s="141"/>
      <c r="J461" s="141"/>
      <c r="K461" s="141"/>
      <c r="L461" s="141"/>
      <c r="M461" s="141"/>
      <c r="N461" s="141"/>
    </row>
    <row r="462" spans="1:14" ht="16" x14ac:dyDescent="0.2">
      <c r="A462" s="141"/>
      <c r="B462" s="141"/>
      <c r="C462" s="141"/>
      <c r="D462" s="141"/>
      <c r="E462" s="141"/>
      <c r="F462" s="141"/>
      <c r="G462" s="141"/>
      <c r="H462" s="141"/>
      <c r="I462" s="141"/>
      <c r="J462" s="141"/>
      <c r="K462" s="141"/>
      <c r="L462" s="141"/>
      <c r="M462" s="141"/>
      <c r="N462" s="141"/>
    </row>
    <row r="463" spans="1:14" ht="16" x14ac:dyDescent="0.2">
      <c r="A463" s="141"/>
      <c r="B463" s="141"/>
      <c r="C463" s="141"/>
      <c r="D463" s="141"/>
      <c r="E463" s="141"/>
      <c r="F463" s="141"/>
      <c r="G463" s="141"/>
      <c r="H463" s="141"/>
      <c r="I463" s="141"/>
      <c r="J463" s="141"/>
      <c r="K463" s="141"/>
      <c r="L463" s="141"/>
      <c r="M463" s="141"/>
      <c r="N463" s="141"/>
    </row>
    <row r="464" spans="1:14" ht="16" x14ac:dyDescent="0.2">
      <c r="A464" s="141"/>
      <c r="B464" s="141"/>
      <c r="C464" s="141"/>
      <c r="D464" s="141"/>
      <c r="E464" s="141"/>
      <c r="F464" s="141"/>
      <c r="G464" s="141"/>
      <c r="H464" s="141"/>
      <c r="I464" s="141"/>
      <c r="J464" s="141"/>
      <c r="K464" s="141"/>
      <c r="L464" s="141"/>
      <c r="M464" s="141"/>
      <c r="N464" s="141"/>
    </row>
    <row r="465" spans="1:14" ht="16" x14ac:dyDescent="0.2">
      <c r="A465" s="141"/>
      <c r="B465" s="141"/>
      <c r="C465" s="141"/>
      <c r="D465" s="141"/>
      <c r="E465" s="141"/>
      <c r="F465" s="141"/>
      <c r="G465" s="141"/>
      <c r="H465" s="141"/>
      <c r="I465" s="141"/>
      <c r="J465" s="141"/>
      <c r="K465" s="141"/>
      <c r="L465" s="141"/>
      <c r="M465" s="141"/>
      <c r="N465" s="141"/>
    </row>
    <row r="466" spans="1:14" ht="16" x14ac:dyDescent="0.2">
      <c r="A466" s="141"/>
      <c r="B466" s="141"/>
      <c r="C466" s="141"/>
      <c r="D466" s="141"/>
      <c r="E466" s="141"/>
      <c r="F466" s="141"/>
      <c r="G466" s="141"/>
      <c r="H466" s="141"/>
      <c r="I466" s="141"/>
      <c r="J466" s="141"/>
      <c r="K466" s="141"/>
      <c r="L466" s="141"/>
      <c r="M466" s="141"/>
      <c r="N466" s="141"/>
    </row>
    <row r="467" spans="1:14" ht="16" x14ac:dyDescent="0.2">
      <c r="A467" s="141"/>
      <c r="B467" s="141"/>
      <c r="C467" s="141"/>
      <c r="D467" s="141"/>
      <c r="E467" s="141"/>
      <c r="F467" s="141"/>
      <c r="G467" s="141"/>
      <c r="H467" s="141"/>
      <c r="I467" s="141"/>
      <c r="J467" s="141"/>
      <c r="K467" s="141"/>
      <c r="L467" s="141"/>
      <c r="M467" s="141"/>
      <c r="N467" s="141"/>
    </row>
    <row r="468" spans="1:14" ht="16" x14ac:dyDescent="0.2">
      <c r="A468" s="141"/>
      <c r="B468" s="141"/>
      <c r="C468" s="141"/>
      <c r="D468" s="141"/>
      <c r="E468" s="141"/>
      <c r="F468" s="141"/>
      <c r="G468" s="141"/>
      <c r="H468" s="141"/>
      <c r="I468" s="141"/>
      <c r="J468" s="141"/>
      <c r="K468" s="141"/>
      <c r="L468" s="141"/>
      <c r="M468" s="141"/>
      <c r="N468" s="141"/>
    </row>
    <row r="469" spans="1:14" ht="16" x14ac:dyDescent="0.2">
      <c r="A469" s="141"/>
      <c r="B469" s="141"/>
      <c r="C469" s="141"/>
      <c r="D469" s="141"/>
      <c r="E469" s="141"/>
      <c r="F469" s="141"/>
      <c r="G469" s="141"/>
      <c r="H469" s="141"/>
      <c r="I469" s="141"/>
      <c r="J469" s="141"/>
      <c r="K469" s="141"/>
      <c r="L469" s="141"/>
      <c r="M469" s="141"/>
      <c r="N469" s="141"/>
    </row>
    <row r="470" spans="1:14" ht="16" x14ac:dyDescent="0.2">
      <c r="A470" s="141"/>
      <c r="B470" s="141"/>
      <c r="C470" s="141"/>
      <c r="D470" s="141"/>
      <c r="E470" s="141"/>
      <c r="F470" s="141"/>
      <c r="G470" s="141"/>
      <c r="H470" s="141"/>
      <c r="I470" s="141"/>
      <c r="J470" s="141"/>
      <c r="K470" s="141"/>
      <c r="L470" s="141"/>
      <c r="M470" s="141"/>
      <c r="N470" s="141"/>
    </row>
    <row r="471" spans="1:14" ht="16" x14ac:dyDescent="0.2">
      <c r="A471" s="141"/>
      <c r="B471" s="141"/>
      <c r="C471" s="141"/>
      <c r="D471" s="141"/>
      <c r="E471" s="141"/>
      <c r="F471" s="141"/>
      <c r="G471" s="141"/>
      <c r="H471" s="141"/>
      <c r="I471" s="141"/>
      <c r="J471" s="141"/>
      <c r="K471" s="141"/>
      <c r="L471" s="141"/>
      <c r="M471" s="141"/>
      <c r="N471" s="141"/>
    </row>
    <row r="472" spans="1:14" ht="16" x14ac:dyDescent="0.2">
      <c r="A472" s="141"/>
      <c r="B472" s="141"/>
      <c r="C472" s="141"/>
      <c r="D472" s="141"/>
      <c r="E472" s="141"/>
      <c r="F472" s="141"/>
      <c r="G472" s="141"/>
      <c r="H472" s="141"/>
      <c r="I472" s="141"/>
      <c r="J472" s="141"/>
      <c r="K472" s="141"/>
      <c r="L472" s="141"/>
      <c r="M472" s="141"/>
      <c r="N472" s="141"/>
    </row>
    <row r="473" spans="1:14" ht="16" x14ac:dyDescent="0.2">
      <c r="A473" s="141"/>
      <c r="B473" s="141"/>
      <c r="C473" s="141"/>
      <c r="D473" s="141"/>
      <c r="E473" s="141"/>
      <c r="F473" s="141"/>
      <c r="G473" s="141"/>
      <c r="H473" s="141"/>
      <c r="I473" s="141"/>
      <c r="J473" s="141"/>
      <c r="K473" s="141"/>
      <c r="L473" s="141"/>
      <c r="M473" s="141"/>
      <c r="N473" s="141"/>
    </row>
    <row r="474" spans="1:14" ht="16" x14ac:dyDescent="0.2">
      <c r="A474" s="141"/>
      <c r="B474" s="141"/>
      <c r="C474" s="141"/>
      <c r="D474" s="141"/>
      <c r="E474" s="141"/>
      <c r="F474" s="141"/>
      <c r="G474" s="141"/>
      <c r="H474" s="141"/>
      <c r="I474" s="141"/>
      <c r="J474" s="141"/>
      <c r="K474" s="141"/>
      <c r="L474" s="141"/>
      <c r="M474" s="141"/>
      <c r="N474" s="141"/>
    </row>
    <row r="475" spans="1:14" ht="16" x14ac:dyDescent="0.2">
      <c r="A475" s="141"/>
      <c r="B475" s="141"/>
      <c r="C475" s="141"/>
      <c r="D475" s="141"/>
      <c r="E475" s="141"/>
      <c r="F475" s="141"/>
      <c r="G475" s="141"/>
      <c r="H475" s="141"/>
      <c r="I475" s="141"/>
      <c r="J475" s="141"/>
      <c r="K475" s="141"/>
      <c r="L475" s="141"/>
      <c r="M475" s="141"/>
      <c r="N475" s="141"/>
    </row>
    <row r="476" spans="1:14" ht="16" x14ac:dyDescent="0.2">
      <c r="A476" s="141"/>
      <c r="B476" s="141"/>
      <c r="C476" s="141"/>
      <c r="D476" s="141"/>
      <c r="E476" s="141"/>
      <c r="F476" s="141"/>
      <c r="G476" s="141"/>
      <c r="H476" s="141"/>
      <c r="I476" s="141"/>
      <c r="J476" s="141"/>
      <c r="K476" s="141"/>
      <c r="L476" s="141"/>
      <c r="M476" s="141"/>
      <c r="N476" s="141"/>
    </row>
    <row r="477" spans="1:14" ht="16" x14ac:dyDescent="0.2">
      <c r="A477" s="141"/>
      <c r="B477" s="141"/>
      <c r="C477" s="141"/>
      <c r="D477" s="141"/>
      <c r="E477" s="141"/>
      <c r="F477" s="141"/>
      <c r="G477" s="141"/>
      <c r="H477" s="141"/>
      <c r="I477" s="141"/>
      <c r="J477" s="141"/>
      <c r="K477" s="141"/>
      <c r="L477" s="141"/>
      <c r="M477" s="141"/>
      <c r="N477" s="141"/>
    </row>
    <row r="478" spans="1:14" ht="16" x14ac:dyDescent="0.2">
      <c r="A478" s="141"/>
      <c r="B478" s="141"/>
      <c r="C478" s="141"/>
      <c r="D478" s="141"/>
      <c r="E478" s="141"/>
      <c r="F478" s="141"/>
      <c r="G478" s="141"/>
      <c r="H478" s="141"/>
      <c r="I478" s="141"/>
      <c r="J478" s="141"/>
      <c r="K478" s="141"/>
      <c r="L478" s="141"/>
      <c r="M478" s="141"/>
      <c r="N478" s="141"/>
    </row>
    <row r="479" spans="1:14" ht="16" x14ac:dyDescent="0.2">
      <c r="A479" s="141"/>
      <c r="B479" s="141"/>
      <c r="C479" s="141"/>
      <c r="D479" s="141"/>
      <c r="E479" s="141"/>
      <c r="F479" s="141"/>
      <c r="G479" s="141"/>
      <c r="H479" s="141"/>
      <c r="I479" s="141"/>
      <c r="J479" s="141"/>
      <c r="K479" s="141"/>
      <c r="L479" s="141"/>
      <c r="M479" s="141"/>
      <c r="N479" s="141"/>
    </row>
    <row r="480" spans="1:14" ht="16" x14ac:dyDescent="0.2">
      <c r="A480" s="141"/>
      <c r="B480" s="141"/>
      <c r="C480" s="141"/>
      <c r="D480" s="141"/>
      <c r="E480" s="141"/>
      <c r="F480" s="141"/>
      <c r="G480" s="141"/>
      <c r="H480" s="141"/>
      <c r="I480" s="141"/>
      <c r="J480" s="141"/>
      <c r="K480" s="141"/>
      <c r="L480" s="141"/>
      <c r="M480" s="141"/>
      <c r="N480" s="141"/>
    </row>
    <row r="481" spans="1:14" ht="16" x14ac:dyDescent="0.2">
      <c r="A481" s="141"/>
      <c r="B481" s="141"/>
      <c r="C481" s="141"/>
      <c r="D481" s="141"/>
      <c r="E481" s="141"/>
      <c r="F481" s="149"/>
      <c r="G481" s="141"/>
      <c r="H481" s="141"/>
      <c r="I481" s="141"/>
      <c r="J481" s="141"/>
      <c r="K481" s="141"/>
      <c r="L481" s="141"/>
      <c r="M481" s="141"/>
      <c r="N481" s="141"/>
    </row>
    <row r="482" spans="1:14" ht="16" x14ac:dyDescent="0.2">
      <c r="A482" s="141"/>
      <c r="B482" s="141"/>
      <c r="C482" s="141"/>
      <c r="D482" s="141"/>
      <c r="E482" s="141"/>
      <c r="F482" s="141"/>
      <c r="G482" s="141"/>
      <c r="H482" s="141"/>
      <c r="I482" s="141"/>
      <c r="J482" s="141"/>
      <c r="K482" s="141"/>
      <c r="L482" s="141"/>
      <c r="M482" s="141"/>
      <c r="N482" s="141"/>
    </row>
    <row r="483" spans="1:14" ht="16" x14ac:dyDescent="0.2">
      <c r="A483" s="141"/>
      <c r="B483" s="141"/>
      <c r="C483" s="141"/>
      <c r="D483" s="141"/>
      <c r="E483" s="141"/>
      <c r="F483" s="144"/>
      <c r="G483" s="141"/>
      <c r="H483" s="141"/>
      <c r="I483" s="141"/>
      <c r="J483" s="141"/>
      <c r="K483" s="141"/>
      <c r="L483" s="141"/>
      <c r="M483" s="141"/>
      <c r="N483" s="141"/>
    </row>
    <row r="484" spans="1:14" ht="16" x14ac:dyDescent="0.2">
      <c r="A484" s="141"/>
      <c r="B484" s="141"/>
      <c r="C484" s="141"/>
      <c r="D484" s="141"/>
      <c r="E484" s="141"/>
      <c r="F484" s="141"/>
      <c r="G484" s="141"/>
      <c r="H484" s="141"/>
      <c r="I484" s="141"/>
      <c r="J484" s="141"/>
      <c r="K484" s="141"/>
      <c r="L484" s="141"/>
      <c r="M484" s="141"/>
      <c r="N484" s="141"/>
    </row>
    <row r="485" spans="1:14" ht="16" x14ac:dyDescent="0.2">
      <c r="A485" s="141"/>
      <c r="B485" s="141"/>
      <c r="C485" s="141"/>
      <c r="D485" s="141"/>
      <c r="E485" s="141"/>
      <c r="F485" s="141"/>
      <c r="G485" s="141"/>
      <c r="H485" s="141"/>
      <c r="I485" s="141"/>
      <c r="J485" s="141"/>
      <c r="K485" s="141"/>
      <c r="L485" s="141"/>
      <c r="M485" s="141"/>
      <c r="N485" s="141"/>
    </row>
    <row r="486" spans="1:14" ht="16" x14ac:dyDescent="0.2">
      <c r="A486" s="141"/>
      <c r="B486" s="141"/>
      <c r="C486" s="141"/>
      <c r="D486" s="141"/>
      <c r="E486" s="141"/>
      <c r="F486" s="141"/>
      <c r="G486" s="141"/>
      <c r="H486" s="141"/>
      <c r="I486" s="141"/>
      <c r="J486" s="141"/>
      <c r="K486" s="141"/>
      <c r="L486" s="141"/>
      <c r="M486" s="141"/>
      <c r="N486" s="141"/>
    </row>
    <row r="487" spans="1:14" ht="16" x14ac:dyDescent="0.2">
      <c r="A487" s="141"/>
      <c r="B487" s="141"/>
      <c r="C487" s="141"/>
      <c r="D487" s="141"/>
      <c r="E487" s="141"/>
      <c r="F487" s="141"/>
      <c r="G487" s="141"/>
      <c r="H487" s="141"/>
      <c r="I487" s="141"/>
      <c r="J487" s="141"/>
      <c r="K487" s="141"/>
      <c r="L487" s="141"/>
      <c r="M487" s="141"/>
      <c r="N487" s="141"/>
    </row>
    <row r="488" spans="1:14" ht="16" x14ac:dyDescent="0.2">
      <c r="A488" s="141"/>
      <c r="B488" s="141"/>
      <c r="C488" s="141"/>
      <c r="D488" s="141"/>
      <c r="E488" s="141"/>
      <c r="F488" s="141"/>
      <c r="G488" s="141"/>
      <c r="H488" s="141"/>
      <c r="I488" s="141"/>
      <c r="J488" s="141"/>
      <c r="K488" s="141"/>
      <c r="L488" s="141"/>
      <c r="M488" s="141"/>
      <c r="N488" s="141"/>
    </row>
    <row r="489" spans="1:14" ht="16" x14ac:dyDescent="0.2">
      <c r="A489" s="141"/>
      <c r="B489" s="141"/>
      <c r="C489" s="141"/>
      <c r="D489" s="141"/>
      <c r="E489" s="141"/>
      <c r="F489" s="151"/>
      <c r="G489" s="141"/>
      <c r="H489" s="141"/>
      <c r="I489" s="141"/>
      <c r="J489" s="141"/>
      <c r="K489" s="141"/>
      <c r="L489" s="141"/>
      <c r="M489" s="141"/>
      <c r="N489" s="141"/>
    </row>
    <row r="490" spans="1:14" ht="16" x14ac:dyDescent="0.2">
      <c r="A490" s="141"/>
      <c r="B490" s="141"/>
      <c r="C490" s="141"/>
      <c r="D490" s="141"/>
      <c r="E490" s="141"/>
      <c r="F490" s="151"/>
      <c r="G490" s="141"/>
      <c r="H490" s="141"/>
      <c r="I490" s="141"/>
      <c r="J490" s="141"/>
      <c r="K490" s="141"/>
      <c r="L490" s="141"/>
      <c r="M490" s="141"/>
      <c r="N490" s="141"/>
    </row>
    <row r="491" spans="1:14" ht="16" x14ac:dyDescent="0.2">
      <c r="A491" s="141"/>
      <c r="B491" s="141"/>
      <c r="C491" s="141"/>
      <c r="D491" s="141"/>
      <c r="E491" s="141"/>
      <c r="F491" s="141"/>
      <c r="G491" s="141"/>
      <c r="H491" s="141"/>
      <c r="I491" s="141"/>
      <c r="J491" s="141"/>
      <c r="K491" s="141"/>
      <c r="L491" s="141"/>
      <c r="M491" s="141"/>
      <c r="N491" s="141"/>
    </row>
    <row r="492" spans="1:14" ht="16" x14ac:dyDescent="0.2">
      <c r="A492" s="141"/>
      <c r="B492" s="141"/>
      <c r="C492" s="141"/>
      <c r="D492" s="141"/>
      <c r="E492" s="141"/>
      <c r="F492" s="151"/>
      <c r="G492" s="141"/>
      <c r="H492" s="141"/>
      <c r="I492" s="141"/>
      <c r="J492" s="141"/>
      <c r="K492" s="141"/>
      <c r="L492" s="141"/>
      <c r="M492" s="141"/>
      <c r="N492" s="141"/>
    </row>
    <row r="493" spans="1:14" ht="16" x14ac:dyDescent="0.2">
      <c r="A493" s="141"/>
      <c r="B493" s="141"/>
      <c r="C493" s="141"/>
      <c r="D493" s="141"/>
      <c r="E493" s="141"/>
      <c r="F493" s="141"/>
      <c r="G493" s="141"/>
      <c r="H493" s="141"/>
      <c r="I493" s="141"/>
      <c r="J493" s="141"/>
      <c r="K493" s="141"/>
      <c r="L493" s="141"/>
      <c r="M493" s="141"/>
      <c r="N493" s="141"/>
    </row>
    <row r="494" spans="1:14" ht="16" x14ac:dyDescent="0.2">
      <c r="A494" s="141"/>
      <c r="B494" s="141"/>
      <c r="C494" s="141"/>
      <c r="D494" s="141"/>
      <c r="E494" s="141"/>
      <c r="F494" s="141"/>
      <c r="G494" s="141"/>
      <c r="H494" s="141"/>
      <c r="I494" s="141"/>
      <c r="J494" s="141"/>
      <c r="K494" s="141"/>
      <c r="L494" s="141"/>
      <c r="M494" s="141"/>
      <c r="N494" s="141"/>
    </row>
    <row r="495" spans="1:14" ht="16" x14ac:dyDescent="0.2">
      <c r="A495" s="141"/>
      <c r="B495" s="141"/>
      <c r="C495" s="141"/>
      <c r="D495" s="141"/>
      <c r="E495" s="141"/>
      <c r="F495" s="141"/>
      <c r="G495" s="141"/>
      <c r="H495" s="141"/>
      <c r="I495" s="141"/>
      <c r="J495" s="141"/>
      <c r="K495" s="141"/>
      <c r="L495" s="141"/>
      <c r="M495" s="141"/>
      <c r="N495" s="141"/>
    </row>
    <row r="496" spans="1:14" ht="16" x14ac:dyDescent="0.2">
      <c r="A496" s="141"/>
      <c r="B496" s="141"/>
      <c r="C496" s="141"/>
      <c r="D496" s="141"/>
      <c r="E496" s="141"/>
      <c r="F496" s="141"/>
      <c r="G496" s="141"/>
      <c r="H496" s="141"/>
      <c r="I496" s="141"/>
      <c r="J496" s="141"/>
      <c r="K496" s="141"/>
      <c r="L496" s="141"/>
      <c r="M496" s="141"/>
      <c r="N496" s="141"/>
    </row>
    <row r="497" spans="1:14" ht="16" x14ac:dyDescent="0.2">
      <c r="A497" s="141"/>
      <c r="B497" s="141"/>
      <c r="C497" s="141"/>
      <c r="D497" s="141"/>
      <c r="E497" s="141"/>
      <c r="F497" s="141"/>
      <c r="G497" s="141"/>
      <c r="H497" s="141"/>
      <c r="I497" s="141"/>
      <c r="J497" s="141"/>
      <c r="K497" s="141"/>
      <c r="L497" s="141"/>
      <c r="M497" s="141"/>
      <c r="N497" s="141"/>
    </row>
    <row r="498" spans="1:14" ht="16" x14ac:dyDescent="0.2">
      <c r="A498" s="141"/>
      <c r="B498" s="141"/>
      <c r="C498" s="141"/>
      <c r="D498" s="141"/>
      <c r="E498" s="141"/>
      <c r="F498" s="141"/>
      <c r="G498" s="141"/>
      <c r="H498" s="141"/>
      <c r="I498" s="141"/>
      <c r="J498" s="141"/>
      <c r="K498" s="141"/>
      <c r="L498" s="141"/>
      <c r="M498" s="141"/>
      <c r="N498" s="141"/>
    </row>
    <row r="499" spans="1:14" ht="16" x14ac:dyDescent="0.2">
      <c r="A499" s="141"/>
      <c r="B499" s="141"/>
      <c r="C499" s="141"/>
      <c r="D499" s="141"/>
      <c r="E499" s="141"/>
      <c r="F499" s="141"/>
      <c r="G499" s="141"/>
      <c r="H499" s="141"/>
      <c r="I499" s="136"/>
      <c r="J499" s="141"/>
      <c r="K499" s="141"/>
      <c r="L499" s="141"/>
      <c r="M499" s="141"/>
      <c r="N499" s="141"/>
    </row>
    <row r="500" spans="1:14" ht="16" x14ac:dyDescent="0.2">
      <c r="A500" s="141"/>
      <c r="B500" s="141"/>
      <c r="C500" s="141"/>
      <c r="D500" s="141"/>
      <c r="E500" s="141"/>
      <c r="F500" s="141"/>
      <c r="G500" s="141"/>
      <c r="H500" s="141"/>
      <c r="I500" s="141"/>
      <c r="J500" s="141"/>
      <c r="K500" s="141"/>
      <c r="L500" s="141"/>
      <c r="M500" s="141"/>
      <c r="N500" s="141"/>
    </row>
    <row r="501" spans="1:14" ht="16" x14ac:dyDescent="0.2">
      <c r="A501" s="141"/>
      <c r="B501" s="141"/>
      <c r="C501" s="141"/>
      <c r="D501" s="141"/>
      <c r="E501" s="141"/>
      <c r="F501" s="141"/>
      <c r="G501" s="141"/>
      <c r="H501" s="141"/>
      <c r="I501" s="141"/>
      <c r="J501" s="141"/>
      <c r="K501" s="141"/>
      <c r="L501" s="141"/>
      <c r="M501" s="141"/>
      <c r="N501" s="141"/>
    </row>
    <row r="502" spans="1:14" ht="16" x14ac:dyDescent="0.2">
      <c r="A502" s="141"/>
      <c r="B502" s="141"/>
      <c r="C502" s="141"/>
      <c r="D502" s="141"/>
      <c r="E502" s="141"/>
      <c r="F502" s="141"/>
      <c r="G502" s="141"/>
      <c r="H502" s="141"/>
      <c r="I502" s="141"/>
      <c r="J502" s="141"/>
      <c r="K502" s="141"/>
      <c r="L502" s="141"/>
      <c r="M502" s="141"/>
      <c r="N502" s="141"/>
    </row>
    <row r="503" spans="1:14" ht="16" x14ac:dyDescent="0.2">
      <c r="A503" s="141"/>
      <c r="B503" s="141"/>
      <c r="C503" s="141"/>
      <c r="D503" s="141"/>
      <c r="E503" s="141"/>
      <c r="F503" s="141"/>
      <c r="G503" s="141"/>
      <c r="H503" s="141"/>
      <c r="I503" s="141"/>
      <c r="J503" s="141"/>
      <c r="K503" s="141"/>
      <c r="L503" s="141"/>
      <c r="M503" s="141"/>
      <c r="N503" s="141"/>
    </row>
    <row r="504" spans="1:14" ht="16" x14ac:dyDescent="0.2">
      <c r="A504" s="141"/>
      <c r="B504" s="141"/>
      <c r="C504" s="141"/>
      <c r="D504" s="141"/>
      <c r="E504" s="141"/>
      <c r="F504" s="141"/>
      <c r="G504" s="141"/>
      <c r="H504" s="141"/>
      <c r="I504" s="141"/>
      <c r="J504" s="141"/>
      <c r="K504" s="141"/>
      <c r="L504" s="141"/>
      <c r="M504" s="141"/>
      <c r="N504" s="141"/>
    </row>
    <row r="505" spans="1:14" ht="16" x14ac:dyDescent="0.2">
      <c r="A505" s="141"/>
      <c r="B505" s="141"/>
      <c r="C505" s="141"/>
      <c r="D505" s="141"/>
      <c r="E505" s="141"/>
      <c r="F505" s="141"/>
      <c r="G505" s="141"/>
      <c r="H505" s="141"/>
      <c r="I505" s="141"/>
      <c r="J505" s="141"/>
      <c r="K505" s="141"/>
      <c r="L505" s="141"/>
      <c r="M505" s="141"/>
      <c r="N505" s="141"/>
    </row>
    <row r="506" spans="1:14" ht="16" x14ac:dyDescent="0.2">
      <c r="A506" s="141"/>
      <c r="B506" s="141"/>
      <c r="C506" s="141"/>
      <c r="D506" s="141"/>
      <c r="E506" s="141"/>
      <c r="F506" s="146"/>
      <c r="G506" s="141"/>
      <c r="H506" s="141"/>
      <c r="I506" s="141"/>
      <c r="J506" s="141"/>
      <c r="K506" s="141"/>
      <c r="L506" s="141"/>
      <c r="M506" s="141"/>
      <c r="N506" s="141"/>
    </row>
    <row r="507" spans="1:14" ht="16" x14ac:dyDescent="0.2">
      <c r="A507" s="141"/>
      <c r="B507" s="141"/>
      <c r="C507" s="141"/>
      <c r="D507" s="141"/>
      <c r="E507" s="141"/>
      <c r="F507" s="143"/>
      <c r="G507" s="141"/>
      <c r="H507" s="141"/>
      <c r="I507" s="141"/>
      <c r="J507" s="141"/>
      <c r="K507" s="141"/>
      <c r="L507" s="141"/>
      <c r="M507" s="141"/>
      <c r="N507" s="141"/>
    </row>
    <row r="508" spans="1:14" ht="16" x14ac:dyDescent="0.2">
      <c r="A508" s="141"/>
      <c r="B508" s="141"/>
      <c r="C508" s="141"/>
      <c r="D508" s="141"/>
      <c r="E508" s="141"/>
      <c r="F508" s="141"/>
      <c r="G508" s="141"/>
      <c r="H508" s="141"/>
      <c r="I508" s="141"/>
      <c r="J508" s="141"/>
      <c r="K508" s="141"/>
      <c r="L508" s="141"/>
      <c r="M508" s="141"/>
      <c r="N508" s="141"/>
    </row>
    <row r="509" spans="1:14" ht="16" x14ac:dyDescent="0.2">
      <c r="A509" s="141"/>
      <c r="B509" s="141"/>
      <c r="C509" s="141"/>
      <c r="D509" s="141"/>
      <c r="E509" s="141"/>
      <c r="F509" s="156"/>
      <c r="G509" s="141"/>
      <c r="H509" s="141"/>
      <c r="I509" s="141"/>
      <c r="J509" s="141"/>
      <c r="K509" s="141"/>
      <c r="L509" s="141"/>
      <c r="M509" s="141"/>
      <c r="N509" s="141"/>
    </row>
    <row r="510" spans="1:14" ht="16" x14ac:dyDescent="0.2">
      <c r="A510" s="141"/>
      <c r="B510" s="141"/>
      <c r="C510" s="141"/>
      <c r="D510" s="141"/>
      <c r="E510" s="141"/>
      <c r="F510" s="141"/>
      <c r="G510" s="141"/>
      <c r="H510" s="141"/>
      <c r="I510" s="141"/>
      <c r="J510" s="141"/>
      <c r="K510" s="141"/>
      <c r="L510" s="141"/>
      <c r="M510" s="141"/>
      <c r="N510" s="141"/>
    </row>
    <row r="511" spans="1:14" ht="16" x14ac:dyDescent="0.2">
      <c r="A511" s="141"/>
      <c r="B511" s="141"/>
      <c r="C511" s="141"/>
      <c r="D511" s="141"/>
      <c r="E511" s="141"/>
      <c r="F511" s="141"/>
      <c r="G511" s="141"/>
      <c r="H511" s="141"/>
      <c r="I511" s="141"/>
      <c r="J511" s="141"/>
      <c r="K511" s="141"/>
      <c r="L511" s="141"/>
      <c r="M511" s="141"/>
      <c r="N511" s="141"/>
    </row>
    <row r="512" spans="1:14" ht="16" x14ac:dyDescent="0.2">
      <c r="A512" s="141"/>
      <c r="B512" s="141"/>
      <c r="C512" s="141"/>
      <c r="D512" s="141"/>
      <c r="E512" s="141"/>
      <c r="F512" s="141"/>
      <c r="G512" s="141"/>
      <c r="H512" s="141"/>
      <c r="I512" s="141"/>
      <c r="J512" s="141"/>
      <c r="K512" s="141"/>
      <c r="L512" s="141"/>
      <c r="M512" s="141"/>
      <c r="N512" s="141"/>
    </row>
    <row r="513" spans="1:14" ht="16" x14ac:dyDescent="0.2">
      <c r="A513" s="141"/>
      <c r="B513" s="141"/>
      <c r="C513" s="141"/>
      <c r="D513" s="141"/>
      <c r="E513" s="141"/>
      <c r="F513" s="141"/>
      <c r="G513" s="141"/>
      <c r="H513" s="141"/>
      <c r="I513" s="141"/>
      <c r="J513" s="141"/>
      <c r="K513" s="141"/>
      <c r="L513" s="141"/>
      <c r="M513" s="141"/>
      <c r="N513" s="141"/>
    </row>
    <row r="514" spans="1:14" ht="16" x14ac:dyDescent="0.2">
      <c r="A514" s="141"/>
      <c r="B514" s="141"/>
      <c r="C514" s="141"/>
      <c r="D514" s="141"/>
      <c r="E514" s="141"/>
      <c r="F514" s="143"/>
      <c r="G514" s="141"/>
      <c r="H514" s="141"/>
      <c r="I514" s="141"/>
      <c r="J514" s="141"/>
      <c r="K514" s="141"/>
      <c r="L514" s="141"/>
      <c r="M514" s="141"/>
      <c r="N514" s="141"/>
    </row>
    <row r="515" spans="1:14" ht="16" x14ac:dyDescent="0.2">
      <c r="A515" s="141"/>
      <c r="B515" s="141"/>
      <c r="C515" s="141"/>
      <c r="D515" s="141"/>
      <c r="E515" s="141"/>
      <c r="F515" s="149"/>
      <c r="G515" s="141"/>
      <c r="H515" s="141"/>
      <c r="I515" s="141"/>
      <c r="J515" s="141"/>
      <c r="K515" s="141"/>
      <c r="L515" s="141"/>
      <c r="M515" s="141"/>
      <c r="N515" s="141"/>
    </row>
    <row r="516" spans="1:14" ht="16" x14ac:dyDescent="0.2">
      <c r="A516" s="141"/>
      <c r="B516" s="141"/>
      <c r="C516" s="141"/>
      <c r="D516" s="141"/>
      <c r="E516" s="141"/>
      <c r="F516" s="143"/>
      <c r="G516" s="141"/>
      <c r="H516" s="141"/>
      <c r="I516" s="141"/>
      <c r="J516" s="141"/>
      <c r="K516" s="141"/>
      <c r="L516" s="141"/>
      <c r="M516" s="141"/>
      <c r="N516" s="141"/>
    </row>
    <row r="517" spans="1:14" ht="16" x14ac:dyDescent="0.2">
      <c r="A517" s="141"/>
      <c r="B517" s="141"/>
      <c r="C517" s="141"/>
      <c r="D517" s="141"/>
      <c r="E517" s="141"/>
      <c r="F517" s="141"/>
      <c r="G517" s="141"/>
      <c r="H517" s="141"/>
      <c r="I517" s="141"/>
      <c r="J517" s="141"/>
      <c r="K517" s="141"/>
      <c r="L517" s="141"/>
      <c r="M517" s="141"/>
      <c r="N517" s="141"/>
    </row>
    <row r="518" spans="1:14" ht="16" x14ac:dyDescent="0.2">
      <c r="A518" s="141"/>
      <c r="B518" s="141"/>
      <c r="C518" s="141"/>
      <c r="D518" s="141"/>
      <c r="E518" s="141"/>
      <c r="F518" s="141"/>
      <c r="G518" s="141"/>
      <c r="H518" s="141"/>
      <c r="I518" s="141"/>
      <c r="J518" s="141"/>
      <c r="K518" s="141"/>
      <c r="L518" s="141"/>
      <c r="M518" s="141"/>
      <c r="N518" s="141"/>
    </row>
    <row r="519" spans="1:14" ht="16" x14ac:dyDescent="0.2">
      <c r="A519" s="141"/>
      <c r="B519" s="141"/>
      <c r="C519" s="141"/>
      <c r="D519" s="141"/>
      <c r="E519" s="141"/>
      <c r="F519" s="141"/>
      <c r="G519" s="141"/>
      <c r="H519" s="141"/>
      <c r="I519" s="141"/>
      <c r="J519" s="141"/>
      <c r="K519" s="141"/>
      <c r="L519" s="141"/>
      <c r="M519" s="141"/>
      <c r="N519" s="141"/>
    </row>
    <row r="520" spans="1:14" ht="16" x14ac:dyDescent="0.2">
      <c r="A520" s="141"/>
      <c r="B520" s="141"/>
      <c r="C520" s="141"/>
      <c r="D520" s="141"/>
      <c r="E520" s="141"/>
      <c r="F520" s="141"/>
      <c r="G520" s="141"/>
      <c r="H520" s="141"/>
      <c r="I520" s="141"/>
      <c r="J520" s="141"/>
      <c r="K520" s="141"/>
      <c r="L520" s="141"/>
      <c r="M520" s="141"/>
      <c r="N520" s="141"/>
    </row>
    <row r="521" spans="1:14" ht="16" x14ac:dyDescent="0.2">
      <c r="A521" s="141"/>
      <c r="B521" s="141"/>
      <c r="C521" s="141"/>
      <c r="D521" s="141"/>
      <c r="E521" s="141"/>
      <c r="F521" s="141"/>
      <c r="G521" s="141"/>
      <c r="H521" s="141"/>
      <c r="I521" s="141"/>
      <c r="J521" s="141"/>
      <c r="K521" s="141"/>
      <c r="L521" s="141"/>
      <c r="M521" s="141"/>
      <c r="N521" s="141"/>
    </row>
    <row r="522" spans="1:14" ht="16" x14ac:dyDescent="0.2">
      <c r="A522" s="141"/>
      <c r="B522" s="141"/>
      <c r="C522" s="141"/>
      <c r="D522" s="141"/>
      <c r="E522" s="141"/>
      <c r="F522" s="141"/>
      <c r="G522" s="141"/>
      <c r="H522" s="141"/>
      <c r="I522" s="141"/>
      <c r="J522" s="141"/>
      <c r="K522" s="141"/>
      <c r="L522" s="141"/>
      <c r="M522" s="141"/>
      <c r="N522" s="141"/>
    </row>
    <row r="523" spans="1:14" ht="16" x14ac:dyDescent="0.2">
      <c r="A523" s="141"/>
      <c r="B523" s="141"/>
      <c r="C523" s="141"/>
      <c r="D523" s="141"/>
      <c r="E523" s="141"/>
      <c r="F523" s="141"/>
      <c r="G523" s="141"/>
      <c r="H523" s="141"/>
      <c r="I523" s="141"/>
      <c r="J523" s="141"/>
      <c r="K523" s="141"/>
      <c r="L523" s="141"/>
      <c r="M523" s="141"/>
      <c r="N523" s="141"/>
    </row>
    <row r="524" spans="1:14" ht="16" x14ac:dyDescent="0.2">
      <c r="A524" s="141"/>
      <c r="B524" s="141"/>
      <c r="C524" s="141"/>
      <c r="D524" s="141"/>
      <c r="E524" s="141"/>
      <c r="F524" s="141"/>
      <c r="G524" s="141"/>
      <c r="H524" s="141"/>
      <c r="I524" s="141"/>
      <c r="J524" s="141"/>
      <c r="K524" s="141"/>
      <c r="L524" s="141"/>
      <c r="M524" s="141"/>
      <c r="N524" s="141"/>
    </row>
    <row r="525" spans="1:14" ht="16" x14ac:dyDescent="0.2">
      <c r="A525" s="141"/>
      <c r="B525" s="141"/>
      <c r="C525" s="141"/>
      <c r="D525" s="141"/>
      <c r="E525" s="141"/>
      <c r="F525" s="141"/>
      <c r="G525" s="141"/>
      <c r="H525" s="141"/>
      <c r="I525" s="141"/>
      <c r="J525" s="141"/>
      <c r="K525" s="141"/>
      <c r="L525" s="141"/>
      <c r="M525" s="141"/>
      <c r="N525" s="141"/>
    </row>
    <row r="526" spans="1:14" ht="16" x14ac:dyDescent="0.2">
      <c r="A526" s="141"/>
      <c r="B526" s="141"/>
      <c r="C526" s="141"/>
      <c r="D526" s="141"/>
      <c r="E526" s="141"/>
      <c r="F526" s="141"/>
      <c r="G526" s="141"/>
      <c r="H526" s="141"/>
      <c r="I526" s="141"/>
      <c r="J526" s="141"/>
      <c r="K526" s="141"/>
      <c r="L526" s="141"/>
      <c r="M526" s="141"/>
      <c r="N526" s="141"/>
    </row>
    <row r="527" spans="1:14" ht="16" x14ac:dyDescent="0.2">
      <c r="A527" s="141"/>
      <c r="B527" s="141"/>
      <c r="C527" s="141"/>
      <c r="D527" s="141"/>
      <c r="E527" s="141"/>
      <c r="F527" s="141"/>
      <c r="G527" s="141"/>
      <c r="H527" s="141"/>
      <c r="I527" s="141"/>
      <c r="J527" s="141"/>
      <c r="K527" s="141"/>
      <c r="L527" s="141"/>
      <c r="M527" s="141"/>
      <c r="N527" s="141"/>
    </row>
    <row r="528" spans="1:14" ht="16" x14ac:dyDescent="0.2">
      <c r="A528" s="141"/>
      <c r="B528" s="141"/>
      <c r="C528" s="141"/>
      <c r="D528" s="141"/>
      <c r="E528" s="141"/>
      <c r="F528" s="141"/>
      <c r="G528" s="141"/>
      <c r="H528" s="141"/>
      <c r="I528" s="141"/>
      <c r="J528" s="141"/>
      <c r="K528" s="141"/>
      <c r="L528" s="141"/>
      <c r="M528" s="141"/>
      <c r="N528" s="141"/>
    </row>
    <row r="529" spans="1:14" ht="16" x14ac:dyDescent="0.2">
      <c r="A529" s="141"/>
      <c r="B529" s="141"/>
      <c r="C529" s="141"/>
      <c r="D529" s="141"/>
      <c r="E529" s="141"/>
      <c r="F529" s="141"/>
      <c r="G529" s="141"/>
      <c r="H529" s="141"/>
      <c r="I529" s="141"/>
      <c r="J529" s="141"/>
      <c r="K529" s="141"/>
      <c r="L529" s="141"/>
      <c r="M529" s="141"/>
      <c r="N529" s="141"/>
    </row>
    <row r="530" spans="1:14" ht="16" x14ac:dyDescent="0.2">
      <c r="A530" s="141"/>
      <c r="B530" s="141"/>
      <c r="C530" s="141"/>
      <c r="D530" s="141"/>
      <c r="E530" s="141"/>
      <c r="F530" s="141"/>
      <c r="G530" s="141"/>
      <c r="H530" s="141"/>
      <c r="I530" s="141"/>
      <c r="J530" s="141"/>
      <c r="K530" s="141"/>
      <c r="L530" s="141"/>
      <c r="M530" s="141"/>
      <c r="N530" s="141"/>
    </row>
    <row r="531" spans="1:14" ht="16" x14ac:dyDescent="0.2">
      <c r="A531" s="141"/>
      <c r="B531" s="141"/>
      <c r="C531" s="141"/>
      <c r="D531" s="141"/>
      <c r="E531" s="141"/>
      <c r="F531" s="141"/>
      <c r="G531" s="141"/>
      <c r="H531" s="141"/>
      <c r="I531" s="141"/>
      <c r="J531" s="141"/>
      <c r="K531" s="141"/>
      <c r="L531" s="141"/>
      <c r="M531" s="141"/>
      <c r="N531" s="141"/>
    </row>
    <row r="532" spans="1:14" ht="16" x14ac:dyDescent="0.2">
      <c r="A532" s="141"/>
      <c r="B532" s="141"/>
      <c r="C532" s="141"/>
      <c r="D532" s="141"/>
      <c r="E532" s="141"/>
      <c r="F532" s="141"/>
      <c r="G532" s="141"/>
      <c r="H532" s="141"/>
      <c r="I532" s="141"/>
      <c r="J532" s="141"/>
      <c r="K532" s="141"/>
      <c r="L532" s="141"/>
      <c r="M532" s="141"/>
      <c r="N532" s="141"/>
    </row>
    <row r="533" spans="1:14" ht="16" x14ac:dyDescent="0.2">
      <c r="A533" s="141"/>
      <c r="B533" s="141"/>
      <c r="C533" s="141"/>
      <c r="D533" s="141"/>
      <c r="E533" s="141"/>
      <c r="F533" s="141"/>
      <c r="G533" s="141"/>
      <c r="H533" s="141"/>
      <c r="I533" s="141"/>
      <c r="J533" s="141"/>
      <c r="K533" s="141"/>
      <c r="L533" s="141"/>
      <c r="M533" s="141"/>
      <c r="N533" s="141"/>
    </row>
    <row r="534" spans="1:14" ht="16" x14ac:dyDescent="0.2">
      <c r="A534" s="141"/>
      <c r="B534" s="141"/>
      <c r="C534" s="141"/>
      <c r="D534" s="141"/>
      <c r="E534" s="141"/>
      <c r="F534" s="141"/>
      <c r="G534" s="141"/>
      <c r="H534" s="141"/>
      <c r="I534" s="141"/>
      <c r="J534" s="141"/>
      <c r="K534" s="141"/>
      <c r="L534" s="141"/>
      <c r="M534" s="141"/>
      <c r="N534" s="141"/>
    </row>
    <row r="535" spans="1:14" ht="16" x14ac:dyDescent="0.2">
      <c r="A535" s="141"/>
      <c r="B535" s="141"/>
      <c r="C535" s="141"/>
      <c r="D535" s="141"/>
      <c r="E535" s="141"/>
      <c r="F535" s="143"/>
      <c r="G535" s="141"/>
      <c r="H535" s="141"/>
      <c r="I535" s="141"/>
      <c r="J535" s="141"/>
      <c r="K535" s="141"/>
      <c r="L535" s="141"/>
      <c r="M535" s="141"/>
      <c r="N535" s="141"/>
    </row>
    <row r="536" spans="1:14" ht="16" x14ac:dyDescent="0.2">
      <c r="A536" s="141"/>
      <c r="B536" s="141"/>
      <c r="C536" s="141"/>
      <c r="D536" s="141"/>
      <c r="E536" s="141"/>
      <c r="F536" s="141"/>
      <c r="G536" s="141"/>
      <c r="H536" s="141"/>
      <c r="I536" s="141"/>
      <c r="J536" s="141"/>
      <c r="K536" s="141"/>
      <c r="L536" s="141"/>
      <c r="M536" s="141"/>
      <c r="N536" s="141"/>
    </row>
    <row r="537" spans="1:14" ht="16" x14ac:dyDescent="0.2">
      <c r="A537" s="141"/>
      <c r="B537" s="141"/>
      <c r="C537" s="141"/>
      <c r="D537" s="141"/>
      <c r="E537" s="141"/>
      <c r="F537" s="141"/>
      <c r="G537" s="141"/>
      <c r="H537" s="141"/>
      <c r="I537" s="141"/>
      <c r="J537" s="141"/>
      <c r="K537" s="141"/>
      <c r="L537" s="141"/>
      <c r="M537" s="141"/>
      <c r="N537" s="141"/>
    </row>
    <row r="538" spans="1:14" ht="16" x14ac:dyDescent="0.2">
      <c r="A538" s="141"/>
      <c r="B538" s="141"/>
      <c r="C538" s="141"/>
      <c r="D538" s="141"/>
      <c r="E538" s="141"/>
      <c r="F538" s="141"/>
      <c r="G538" s="141"/>
      <c r="H538" s="141"/>
      <c r="I538" s="141"/>
      <c r="J538" s="141"/>
      <c r="K538" s="141"/>
      <c r="L538" s="141"/>
      <c r="M538" s="141"/>
      <c r="N538" s="141"/>
    </row>
    <row r="539" spans="1:14" ht="16" x14ac:dyDescent="0.2">
      <c r="A539" s="141"/>
      <c r="B539" s="141"/>
      <c r="C539" s="141"/>
      <c r="D539" s="141"/>
      <c r="E539" s="141"/>
      <c r="F539" s="141"/>
      <c r="G539" s="141"/>
      <c r="H539" s="141"/>
      <c r="I539" s="141"/>
      <c r="J539" s="141"/>
      <c r="K539" s="141"/>
      <c r="L539" s="141"/>
      <c r="M539" s="141"/>
      <c r="N539" s="141"/>
    </row>
    <row r="540" spans="1:14" ht="16" x14ac:dyDescent="0.2">
      <c r="A540" s="141"/>
      <c r="B540" s="141"/>
      <c r="C540" s="141"/>
      <c r="D540" s="141"/>
      <c r="E540" s="141"/>
      <c r="F540" s="141"/>
      <c r="G540" s="141"/>
      <c r="H540" s="141"/>
      <c r="I540" s="141"/>
      <c r="J540" s="141"/>
      <c r="K540" s="141"/>
      <c r="L540" s="141"/>
      <c r="M540" s="141"/>
      <c r="N540" s="141"/>
    </row>
    <row r="541" spans="1:14" ht="16" x14ac:dyDescent="0.2">
      <c r="A541" s="141"/>
      <c r="B541" s="141"/>
      <c r="C541" s="141"/>
      <c r="D541" s="141"/>
      <c r="E541" s="141"/>
      <c r="F541" s="141"/>
      <c r="G541" s="141"/>
      <c r="H541" s="141"/>
      <c r="I541" s="141"/>
      <c r="J541" s="141"/>
      <c r="K541" s="141"/>
      <c r="L541" s="141"/>
      <c r="M541" s="141"/>
      <c r="N541" s="141"/>
    </row>
    <row r="542" spans="1:14" ht="16" x14ac:dyDescent="0.2">
      <c r="A542" s="141"/>
      <c r="B542" s="141"/>
      <c r="C542" s="141"/>
      <c r="D542" s="141"/>
      <c r="E542" s="141"/>
      <c r="F542" s="141"/>
      <c r="G542" s="141"/>
      <c r="H542" s="141"/>
      <c r="I542" s="141"/>
      <c r="J542" s="141"/>
      <c r="K542" s="141"/>
      <c r="L542" s="141"/>
      <c r="M542" s="141"/>
      <c r="N542" s="141"/>
    </row>
    <row r="543" spans="1:14" ht="16" x14ac:dyDescent="0.2">
      <c r="A543" s="141"/>
      <c r="B543" s="141"/>
      <c r="C543" s="141"/>
      <c r="D543" s="141"/>
      <c r="E543" s="141"/>
      <c r="F543" s="141"/>
      <c r="G543" s="141"/>
      <c r="H543" s="141"/>
      <c r="I543" s="141"/>
      <c r="J543" s="141"/>
      <c r="K543" s="141"/>
      <c r="L543" s="141"/>
      <c r="M543" s="141"/>
      <c r="N543" s="141"/>
    </row>
    <row r="544" spans="1:14" ht="16" x14ac:dyDescent="0.2">
      <c r="A544" s="141"/>
      <c r="B544" s="141"/>
      <c r="C544" s="141"/>
      <c r="D544" s="141"/>
      <c r="E544" s="141"/>
      <c r="F544" s="141"/>
      <c r="G544" s="141"/>
      <c r="H544" s="141"/>
      <c r="I544" s="141"/>
      <c r="J544" s="141"/>
      <c r="K544" s="141"/>
      <c r="L544" s="141"/>
      <c r="M544" s="141"/>
      <c r="N544" s="141"/>
    </row>
    <row r="545" spans="1:14" ht="16" x14ac:dyDescent="0.2">
      <c r="A545" s="141"/>
      <c r="B545" s="141"/>
      <c r="C545" s="141"/>
      <c r="D545" s="141"/>
      <c r="E545" s="141"/>
      <c r="F545" s="141"/>
      <c r="G545" s="141"/>
      <c r="H545" s="141"/>
      <c r="I545" s="141"/>
      <c r="J545" s="141"/>
      <c r="K545" s="141"/>
      <c r="L545" s="141"/>
      <c r="M545" s="141"/>
      <c r="N545" s="141"/>
    </row>
    <row r="546" spans="1:14" ht="16" x14ac:dyDescent="0.2">
      <c r="A546" s="141"/>
      <c r="B546" s="141"/>
      <c r="C546" s="141"/>
      <c r="D546" s="141"/>
      <c r="E546" s="141"/>
      <c r="F546" s="141"/>
      <c r="G546" s="141"/>
      <c r="H546" s="141"/>
      <c r="I546" s="141"/>
      <c r="J546" s="141"/>
      <c r="K546" s="141"/>
      <c r="L546" s="141"/>
      <c r="M546" s="141"/>
      <c r="N546" s="141"/>
    </row>
    <row r="547" spans="1:14" ht="16" x14ac:dyDescent="0.2">
      <c r="A547" s="141"/>
      <c r="B547" s="141"/>
      <c r="C547" s="141"/>
      <c r="D547" s="141"/>
      <c r="E547" s="141"/>
      <c r="F547" s="141"/>
      <c r="G547" s="141"/>
      <c r="H547" s="141"/>
      <c r="I547" s="141"/>
      <c r="J547" s="141"/>
      <c r="K547" s="141"/>
      <c r="L547" s="141"/>
      <c r="M547" s="141"/>
      <c r="N547" s="141"/>
    </row>
    <row r="548" spans="1:14" ht="16" x14ac:dyDescent="0.2">
      <c r="A548" s="141"/>
      <c r="B548" s="141"/>
      <c r="C548" s="141"/>
      <c r="D548" s="141"/>
      <c r="E548" s="141"/>
      <c r="F548" s="141"/>
      <c r="G548" s="141"/>
      <c r="H548" s="141"/>
      <c r="I548" s="141"/>
      <c r="J548" s="141"/>
      <c r="K548" s="141"/>
      <c r="L548" s="141"/>
      <c r="M548" s="141"/>
      <c r="N548" s="141"/>
    </row>
    <row r="549" spans="1:14" ht="16" x14ac:dyDescent="0.2">
      <c r="A549" s="141"/>
      <c r="B549" s="141"/>
      <c r="C549" s="141"/>
      <c r="D549" s="141"/>
      <c r="E549" s="141"/>
      <c r="F549" s="141"/>
      <c r="G549" s="141"/>
      <c r="H549" s="141"/>
      <c r="I549" s="141"/>
      <c r="J549" s="141"/>
      <c r="K549" s="141"/>
      <c r="L549" s="141"/>
      <c r="M549" s="141"/>
      <c r="N549" s="141"/>
    </row>
    <row r="550" spans="1:14" ht="16" x14ac:dyDescent="0.2">
      <c r="A550" s="141"/>
      <c r="B550" s="141"/>
      <c r="C550" s="141"/>
      <c r="D550" s="141"/>
      <c r="E550" s="141"/>
      <c r="F550" s="145"/>
      <c r="G550" s="141"/>
      <c r="H550" s="141"/>
      <c r="I550" s="141"/>
      <c r="J550" s="141"/>
      <c r="K550" s="141"/>
      <c r="L550" s="141"/>
      <c r="M550" s="141"/>
      <c r="N550" s="141"/>
    </row>
    <row r="551" spans="1:14" ht="16" x14ac:dyDescent="0.2">
      <c r="A551" s="141"/>
      <c r="B551" s="141"/>
      <c r="C551" s="141"/>
      <c r="D551" s="141"/>
      <c r="E551" s="141"/>
      <c r="F551" s="141"/>
      <c r="G551" s="141"/>
      <c r="H551" s="141"/>
      <c r="I551" s="141"/>
      <c r="J551" s="141"/>
      <c r="K551" s="141"/>
      <c r="L551" s="141"/>
      <c r="M551" s="141"/>
      <c r="N551" s="141"/>
    </row>
    <row r="552" spans="1:14" ht="16" x14ac:dyDescent="0.2">
      <c r="A552" s="141"/>
      <c r="B552" s="141"/>
      <c r="C552" s="141"/>
      <c r="D552" s="141"/>
      <c r="E552" s="141"/>
      <c r="F552" s="141"/>
      <c r="G552" s="141"/>
      <c r="H552" s="141"/>
      <c r="I552" s="141"/>
      <c r="J552" s="141"/>
      <c r="K552" s="141"/>
      <c r="L552" s="141"/>
      <c r="M552" s="141"/>
      <c r="N552" s="141"/>
    </row>
    <row r="553" spans="1:14" ht="16" x14ac:dyDescent="0.2">
      <c r="A553" s="141"/>
      <c r="B553" s="141"/>
      <c r="C553" s="141"/>
      <c r="D553" s="141"/>
      <c r="E553" s="141"/>
      <c r="F553" s="151"/>
      <c r="G553" s="141"/>
      <c r="H553" s="141"/>
      <c r="I553" s="141"/>
      <c r="J553" s="141"/>
      <c r="K553" s="141"/>
      <c r="L553" s="141"/>
      <c r="M553" s="141"/>
      <c r="N553" s="141"/>
    </row>
    <row r="554" spans="1:14" ht="16" x14ac:dyDescent="0.2">
      <c r="A554" s="141"/>
      <c r="B554" s="141"/>
      <c r="C554" s="141"/>
      <c r="D554" s="141"/>
      <c r="E554" s="141"/>
      <c r="F554" s="141"/>
      <c r="G554" s="141"/>
      <c r="H554" s="141"/>
      <c r="I554" s="141"/>
      <c r="J554" s="141"/>
      <c r="K554" s="141"/>
      <c r="L554" s="141"/>
      <c r="M554" s="141"/>
      <c r="N554" s="141"/>
    </row>
    <row r="555" spans="1:14" ht="16" x14ac:dyDescent="0.2">
      <c r="A555" s="141"/>
      <c r="B555" s="141"/>
      <c r="C555" s="141"/>
      <c r="D555" s="141"/>
      <c r="E555" s="141"/>
      <c r="F555" s="141"/>
      <c r="G555" s="141"/>
      <c r="H555" s="141"/>
      <c r="I555" s="141"/>
      <c r="J555" s="141"/>
      <c r="K555" s="141"/>
      <c r="L555" s="141"/>
      <c r="M555" s="141"/>
      <c r="N555" s="141"/>
    </row>
    <row r="556" spans="1:14" ht="16" x14ac:dyDescent="0.2">
      <c r="A556" s="141"/>
      <c r="B556" s="141"/>
      <c r="C556" s="141"/>
      <c r="D556" s="141"/>
      <c r="E556" s="141"/>
      <c r="F556" s="141"/>
      <c r="G556" s="141"/>
      <c r="H556" s="141"/>
      <c r="I556" s="141"/>
      <c r="J556" s="141"/>
      <c r="K556" s="141"/>
      <c r="L556" s="141"/>
      <c r="M556" s="141"/>
      <c r="N556" s="141"/>
    </row>
    <row r="557" spans="1:14" ht="16" x14ac:dyDescent="0.2">
      <c r="A557" s="141"/>
      <c r="B557" s="141"/>
      <c r="C557" s="141"/>
      <c r="D557" s="141"/>
      <c r="E557" s="141"/>
      <c r="F557" s="141"/>
      <c r="G557" s="141"/>
      <c r="H557" s="141"/>
      <c r="I557" s="141"/>
      <c r="J557" s="141"/>
      <c r="K557" s="141"/>
      <c r="L557" s="141"/>
      <c r="M557" s="141"/>
      <c r="N557" s="141"/>
    </row>
    <row r="558" spans="1:14" ht="16" x14ac:dyDescent="0.2">
      <c r="A558" s="141"/>
      <c r="B558" s="141"/>
      <c r="C558" s="141"/>
      <c r="D558" s="141"/>
      <c r="E558" s="141"/>
      <c r="F558" s="141"/>
      <c r="G558" s="141"/>
      <c r="H558" s="141"/>
      <c r="I558" s="141"/>
      <c r="J558" s="141"/>
      <c r="K558" s="141"/>
      <c r="L558" s="141"/>
      <c r="M558" s="141"/>
      <c r="N558" s="141"/>
    </row>
    <row r="559" spans="1:14" ht="16" x14ac:dyDescent="0.2">
      <c r="A559" s="141"/>
      <c r="B559" s="141"/>
      <c r="C559" s="141"/>
      <c r="D559" s="141"/>
      <c r="E559" s="141"/>
      <c r="F559" s="141"/>
      <c r="G559" s="141"/>
      <c r="H559" s="141"/>
      <c r="I559" s="141"/>
      <c r="J559" s="141"/>
      <c r="K559" s="141"/>
      <c r="L559" s="141"/>
      <c r="M559" s="141"/>
      <c r="N559" s="141"/>
    </row>
    <row r="560" spans="1:14" ht="16" x14ac:dyDescent="0.2">
      <c r="A560" s="141"/>
      <c r="B560" s="141"/>
      <c r="C560" s="141"/>
      <c r="D560" s="141"/>
      <c r="E560" s="141"/>
      <c r="F560" s="141"/>
      <c r="G560" s="141"/>
      <c r="H560" s="141"/>
      <c r="I560" s="141"/>
      <c r="J560" s="141"/>
      <c r="K560" s="141"/>
      <c r="L560" s="141"/>
      <c r="M560" s="141"/>
      <c r="N560" s="141"/>
    </row>
    <row r="561" spans="1:14" ht="16" x14ac:dyDescent="0.2">
      <c r="A561" s="141"/>
      <c r="B561" s="141"/>
      <c r="C561" s="141"/>
      <c r="D561" s="141"/>
      <c r="E561" s="141"/>
      <c r="F561" s="141"/>
      <c r="G561" s="141"/>
      <c r="H561" s="141"/>
      <c r="I561" s="141"/>
      <c r="J561" s="141"/>
      <c r="K561" s="141"/>
      <c r="L561" s="141"/>
      <c r="M561" s="141"/>
      <c r="N561" s="141"/>
    </row>
    <row r="562" spans="1:14" ht="16" x14ac:dyDescent="0.2">
      <c r="A562" s="141"/>
      <c r="B562" s="141"/>
      <c r="C562" s="141"/>
      <c r="D562" s="141"/>
      <c r="E562" s="141"/>
      <c r="F562" s="141"/>
      <c r="G562" s="141"/>
      <c r="H562" s="141"/>
      <c r="I562" s="141"/>
      <c r="J562" s="141"/>
      <c r="K562" s="141"/>
      <c r="L562" s="141"/>
      <c r="M562" s="141"/>
      <c r="N562" s="141"/>
    </row>
    <row r="563" spans="1:14" ht="16" x14ac:dyDescent="0.2">
      <c r="A563" s="141"/>
      <c r="B563" s="141"/>
      <c r="C563" s="141"/>
      <c r="D563" s="141"/>
      <c r="E563" s="141"/>
      <c r="F563" s="141"/>
      <c r="G563" s="141"/>
      <c r="H563" s="141"/>
      <c r="I563" s="141"/>
      <c r="J563" s="141"/>
      <c r="K563" s="141"/>
      <c r="L563" s="141"/>
      <c r="M563" s="141"/>
      <c r="N563" s="141"/>
    </row>
    <row r="564" spans="1:14" ht="16" x14ac:dyDescent="0.2">
      <c r="A564" s="141"/>
      <c r="B564" s="141"/>
      <c r="C564" s="141"/>
      <c r="D564" s="141"/>
      <c r="E564" s="141"/>
      <c r="F564" s="141"/>
      <c r="G564" s="141"/>
      <c r="H564" s="141"/>
      <c r="I564" s="141"/>
      <c r="J564" s="141"/>
      <c r="K564" s="141"/>
      <c r="L564" s="141"/>
      <c r="M564" s="141"/>
      <c r="N564" s="141"/>
    </row>
    <row r="565" spans="1:14" ht="16" x14ac:dyDescent="0.2">
      <c r="A565" s="141"/>
      <c r="B565" s="141"/>
      <c r="C565" s="141"/>
      <c r="D565" s="141"/>
      <c r="E565" s="141"/>
      <c r="F565" s="141"/>
      <c r="G565" s="141"/>
      <c r="H565" s="141"/>
      <c r="I565" s="141"/>
      <c r="J565" s="141"/>
      <c r="K565" s="141"/>
      <c r="L565" s="141"/>
      <c r="M565" s="141"/>
      <c r="N565" s="141"/>
    </row>
    <row r="566" spans="1:14" ht="16" x14ac:dyDescent="0.2">
      <c r="A566" s="141"/>
      <c r="B566" s="141"/>
      <c r="C566" s="141"/>
      <c r="D566" s="141"/>
      <c r="E566" s="141"/>
      <c r="F566" s="141"/>
      <c r="G566" s="141"/>
      <c r="H566" s="141"/>
      <c r="I566" s="141"/>
      <c r="J566" s="141"/>
      <c r="K566" s="141"/>
      <c r="L566" s="141"/>
      <c r="M566" s="141"/>
      <c r="N566" s="141"/>
    </row>
    <row r="567" spans="1:14" ht="16" x14ac:dyDescent="0.2">
      <c r="A567" s="141"/>
      <c r="B567" s="141"/>
      <c r="C567" s="141"/>
      <c r="D567" s="141"/>
      <c r="E567" s="141"/>
      <c r="F567" s="141"/>
      <c r="G567" s="141"/>
      <c r="H567" s="141"/>
      <c r="I567" s="141"/>
      <c r="J567" s="141"/>
      <c r="K567" s="141"/>
      <c r="L567" s="141"/>
      <c r="M567" s="141"/>
      <c r="N567" s="141"/>
    </row>
    <row r="568" spans="1:14" ht="16" x14ac:dyDescent="0.2">
      <c r="A568" s="141"/>
      <c r="B568" s="141"/>
      <c r="C568" s="141"/>
      <c r="D568" s="142"/>
      <c r="E568" s="141"/>
      <c r="F568" s="144"/>
      <c r="G568" s="141"/>
      <c r="H568" s="142"/>
      <c r="I568" s="141"/>
      <c r="J568" s="141"/>
      <c r="K568" s="141"/>
      <c r="L568" s="141"/>
      <c r="M568" s="141"/>
      <c r="N568" s="141"/>
    </row>
    <row r="569" spans="1:14" ht="16" x14ac:dyDescent="0.2">
      <c r="A569" s="141"/>
      <c r="B569" s="141"/>
      <c r="C569" s="141"/>
      <c r="D569" s="141"/>
      <c r="E569" s="141"/>
      <c r="F569" s="141"/>
      <c r="G569" s="141"/>
      <c r="H569" s="141"/>
      <c r="I569" s="141"/>
      <c r="J569" s="141"/>
      <c r="K569" s="141"/>
      <c r="L569" s="141"/>
      <c r="M569" s="141"/>
      <c r="N569" s="141"/>
    </row>
    <row r="570" spans="1:14" ht="16" x14ac:dyDescent="0.2">
      <c r="A570" s="141"/>
      <c r="B570" s="141"/>
      <c r="C570" s="141"/>
      <c r="D570" s="141"/>
      <c r="E570" s="141"/>
      <c r="F570" s="141"/>
      <c r="G570" s="141"/>
      <c r="H570" s="141"/>
      <c r="I570" s="141"/>
      <c r="J570" s="141"/>
      <c r="K570" s="141"/>
      <c r="L570" s="141"/>
      <c r="M570" s="141"/>
      <c r="N570" s="141"/>
    </row>
    <row r="571" spans="1:14" ht="16" x14ac:dyDescent="0.2">
      <c r="A571" s="141"/>
      <c r="B571" s="141"/>
      <c r="C571" s="141"/>
      <c r="D571" s="141"/>
      <c r="E571" s="141"/>
      <c r="F571" s="141"/>
      <c r="G571" s="141"/>
      <c r="H571" s="141"/>
      <c r="I571" s="141"/>
      <c r="J571" s="141"/>
      <c r="K571" s="141"/>
      <c r="L571" s="141"/>
      <c r="M571" s="141"/>
      <c r="N571" s="141"/>
    </row>
    <row r="572" spans="1:14" ht="16" x14ac:dyDescent="0.2">
      <c r="A572" s="141"/>
      <c r="B572" s="141"/>
      <c r="C572" s="141"/>
      <c r="D572" s="141"/>
      <c r="E572" s="141"/>
      <c r="F572" s="141"/>
      <c r="G572" s="141"/>
      <c r="H572" s="141"/>
      <c r="I572" s="141"/>
      <c r="J572" s="141"/>
      <c r="K572" s="141"/>
      <c r="L572" s="141"/>
      <c r="M572" s="141"/>
      <c r="N572" s="141"/>
    </row>
    <row r="573" spans="1:14" ht="16" x14ac:dyDescent="0.2">
      <c r="A573" s="141"/>
      <c r="B573" s="141"/>
      <c r="C573" s="141"/>
      <c r="D573" s="141"/>
      <c r="E573" s="141"/>
      <c r="F573" s="141"/>
      <c r="G573" s="141"/>
      <c r="H573" s="141"/>
      <c r="I573" s="141"/>
      <c r="J573" s="141"/>
      <c r="K573" s="141"/>
      <c r="L573" s="141"/>
      <c r="M573" s="141"/>
      <c r="N573" s="141"/>
    </row>
    <row r="574" spans="1:14" ht="16" x14ac:dyDescent="0.2">
      <c r="A574" s="141"/>
      <c r="B574" s="141"/>
      <c r="C574" s="141"/>
      <c r="D574" s="141"/>
      <c r="E574" s="141"/>
      <c r="F574" s="141"/>
      <c r="G574" s="141"/>
      <c r="H574" s="141"/>
      <c r="I574" s="141"/>
      <c r="J574" s="141"/>
      <c r="K574" s="141"/>
      <c r="L574" s="141"/>
      <c r="M574" s="141"/>
      <c r="N574" s="141"/>
    </row>
    <row r="575" spans="1:14" ht="16" x14ac:dyDescent="0.2">
      <c r="A575" s="141"/>
      <c r="B575" s="141"/>
      <c r="C575" s="141"/>
      <c r="D575" s="141"/>
      <c r="E575" s="141"/>
      <c r="F575" s="141"/>
      <c r="G575" s="141"/>
      <c r="H575" s="141"/>
      <c r="I575" s="141"/>
      <c r="J575" s="141"/>
      <c r="K575" s="141"/>
      <c r="L575" s="141"/>
      <c r="M575" s="141"/>
      <c r="N575" s="141"/>
    </row>
    <row r="576" spans="1:14" ht="16" x14ac:dyDescent="0.2">
      <c r="A576" s="141"/>
      <c r="B576" s="141"/>
      <c r="C576" s="141"/>
      <c r="D576" s="141"/>
      <c r="E576" s="141"/>
      <c r="F576" s="141"/>
      <c r="G576" s="141"/>
      <c r="H576" s="141"/>
      <c r="I576" s="141"/>
      <c r="J576" s="141"/>
      <c r="K576" s="141"/>
      <c r="L576" s="141"/>
      <c r="M576" s="141"/>
      <c r="N576" s="141"/>
    </row>
    <row r="577" spans="1:14" ht="16" x14ac:dyDescent="0.2">
      <c r="A577" s="141"/>
      <c r="B577" s="141"/>
      <c r="C577" s="141"/>
      <c r="D577" s="141"/>
      <c r="E577" s="141"/>
      <c r="F577" s="141"/>
      <c r="G577" s="141"/>
      <c r="H577" s="141"/>
      <c r="I577" s="141"/>
      <c r="J577" s="141"/>
      <c r="K577" s="141"/>
      <c r="L577" s="141"/>
      <c r="M577" s="141"/>
      <c r="N577" s="141"/>
    </row>
    <row r="578" spans="1:14" ht="16" x14ac:dyDescent="0.2">
      <c r="A578" s="141"/>
      <c r="B578" s="141"/>
      <c r="C578" s="141"/>
      <c r="D578" s="141"/>
      <c r="E578" s="141"/>
      <c r="F578" s="141"/>
      <c r="G578" s="141"/>
      <c r="H578" s="141"/>
      <c r="I578" s="141"/>
      <c r="J578" s="141"/>
      <c r="K578" s="141"/>
      <c r="L578" s="141"/>
      <c r="M578" s="141"/>
      <c r="N578" s="141"/>
    </row>
    <row r="579" spans="1:14" ht="16" x14ac:dyDescent="0.2">
      <c r="A579" s="141"/>
      <c r="B579" s="141"/>
      <c r="C579" s="141"/>
      <c r="D579" s="141"/>
      <c r="E579" s="141"/>
      <c r="F579" s="141"/>
      <c r="G579" s="141"/>
      <c r="H579" s="141"/>
      <c r="I579" s="141"/>
      <c r="J579" s="141"/>
      <c r="K579" s="141"/>
      <c r="L579" s="141"/>
      <c r="M579" s="141"/>
      <c r="N579" s="141"/>
    </row>
    <row r="580" spans="1:14" ht="16" x14ac:dyDescent="0.2">
      <c r="A580" s="141"/>
      <c r="B580" s="141"/>
      <c r="C580" s="141"/>
      <c r="D580" s="141"/>
      <c r="E580" s="141"/>
      <c r="F580" s="141"/>
      <c r="G580" s="141"/>
      <c r="H580" s="141"/>
      <c r="I580" s="141"/>
      <c r="J580" s="141"/>
      <c r="K580" s="141"/>
      <c r="L580" s="141"/>
      <c r="M580" s="141"/>
      <c r="N580" s="141"/>
    </row>
    <row r="581" spans="1:14" ht="16" x14ac:dyDescent="0.2">
      <c r="A581" s="141"/>
      <c r="B581" s="141"/>
      <c r="C581" s="141"/>
      <c r="D581" s="141"/>
      <c r="E581" s="141"/>
      <c r="F581" s="141"/>
      <c r="G581" s="141"/>
      <c r="H581" s="141"/>
      <c r="I581" s="141"/>
      <c r="J581" s="141"/>
      <c r="K581" s="141"/>
      <c r="L581" s="141"/>
      <c r="M581" s="141"/>
      <c r="N581" s="141"/>
    </row>
    <row r="582" spans="1:14" ht="16" x14ac:dyDescent="0.2">
      <c r="A582" s="141"/>
      <c r="B582" s="141"/>
      <c r="C582" s="141"/>
      <c r="D582" s="141"/>
      <c r="E582" s="141"/>
      <c r="F582" s="141"/>
      <c r="G582" s="141"/>
      <c r="H582" s="141"/>
      <c r="I582" s="141"/>
      <c r="J582" s="141"/>
      <c r="K582" s="141"/>
      <c r="L582" s="141"/>
      <c r="M582" s="141"/>
      <c r="N582" s="141"/>
    </row>
    <row r="583" spans="1:14" ht="16" x14ac:dyDescent="0.2">
      <c r="A583" s="141"/>
      <c r="B583" s="141"/>
      <c r="C583" s="141"/>
      <c r="D583" s="141"/>
      <c r="E583" s="141"/>
      <c r="F583" s="141"/>
      <c r="G583" s="141"/>
      <c r="H583" s="141"/>
      <c r="I583" s="141"/>
      <c r="J583" s="141"/>
      <c r="K583" s="141"/>
      <c r="L583" s="141"/>
      <c r="M583" s="141"/>
      <c r="N583" s="141"/>
    </row>
    <row r="584" spans="1:14" ht="16" x14ac:dyDescent="0.2">
      <c r="A584" s="141"/>
      <c r="B584" s="141"/>
      <c r="C584" s="141"/>
      <c r="D584" s="141"/>
      <c r="E584" s="141"/>
      <c r="F584" s="141"/>
      <c r="G584" s="141"/>
      <c r="H584" s="141"/>
      <c r="I584" s="141"/>
      <c r="J584" s="141"/>
      <c r="K584" s="141"/>
      <c r="L584" s="141"/>
      <c r="M584" s="141"/>
      <c r="N584" s="141"/>
    </row>
    <row r="585" spans="1:14" ht="16" x14ac:dyDescent="0.2">
      <c r="A585" s="141"/>
      <c r="B585" s="141"/>
      <c r="C585" s="141"/>
      <c r="D585" s="141"/>
      <c r="E585" s="141"/>
      <c r="F585" s="141"/>
      <c r="G585" s="141"/>
      <c r="H585" s="141"/>
      <c r="I585" s="141"/>
      <c r="J585" s="141"/>
      <c r="K585" s="141"/>
      <c r="L585" s="141"/>
      <c r="M585" s="141"/>
      <c r="N585" s="141"/>
    </row>
    <row r="586" spans="1:14" ht="16" x14ac:dyDescent="0.2">
      <c r="A586" s="141"/>
      <c r="B586" s="141"/>
      <c r="C586" s="141"/>
      <c r="D586" s="141"/>
      <c r="E586" s="141"/>
      <c r="F586" s="141"/>
      <c r="G586" s="141"/>
      <c r="H586" s="141"/>
      <c r="I586" s="141"/>
      <c r="J586" s="141"/>
      <c r="K586" s="141"/>
      <c r="L586" s="141"/>
      <c r="M586" s="141"/>
      <c r="N586" s="141"/>
    </row>
    <row r="587" spans="1:14" ht="16" x14ac:dyDescent="0.2">
      <c r="A587" s="141"/>
      <c r="B587" s="141"/>
      <c r="C587" s="141"/>
      <c r="D587" s="141"/>
      <c r="E587" s="141"/>
      <c r="F587" s="141"/>
      <c r="G587" s="141"/>
      <c r="H587" s="141"/>
      <c r="I587" s="141"/>
      <c r="J587" s="141"/>
      <c r="K587" s="141"/>
      <c r="L587" s="141"/>
      <c r="M587" s="141"/>
      <c r="N587" s="141"/>
    </row>
    <row r="588" spans="1:14" ht="16" x14ac:dyDescent="0.2">
      <c r="A588" s="141"/>
      <c r="B588" s="141"/>
      <c r="C588" s="141"/>
      <c r="D588" s="141"/>
      <c r="E588" s="141"/>
      <c r="F588" s="141"/>
      <c r="G588" s="141"/>
      <c r="H588" s="141"/>
      <c r="I588" s="141"/>
      <c r="J588" s="141"/>
      <c r="K588" s="141"/>
      <c r="L588" s="141"/>
      <c r="M588" s="141"/>
      <c r="N588" s="141"/>
    </row>
    <row r="589" spans="1:14" ht="16" x14ac:dyDescent="0.2">
      <c r="A589" s="141"/>
      <c r="B589" s="141"/>
      <c r="C589" s="141"/>
      <c r="D589" s="141"/>
      <c r="E589" s="141"/>
      <c r="F589" s="141"/>
      <c r="G589" s="141"/>
      <c r="H589" s="141"/>
      <c r="I589" s="141"/>
      <c r="J589" s="141"/>
      <c r="K589" s="141"/>
      <c r="L589" s="141"/>
      <c r="M589" s="141"/>
      <c r="N589" s="141"/>
    </row>
    <row r="590" spans="1:14" ht="16" x14ac:dyDescent="0.2">
      <c r="A590" s="141"/>
      <c r="B590" s="141"/>
      <c r="C590" s="141"/>
      <c r="D590" s="141"/>
      <c r="E590" s="141"/>
      <c r="F590" s="141"/>
      <c r="G590" s="141"/>
      <c r="H590" s="141"/>
      <c r="I590" s="141"/>
      <c r="J590" s="141"/>
      <c r="K590" s="141"/>
      <c r="L590" s="141"/>
      <c r="M590" s="141"/>
      <c r="N590" s="141"/>
    </row>
    <row r="591" spans="1:14" ht="16" x14ac:dyDescent="0.2">
      <c r="A591" s="141"/>
      <c r="B591" s="141"/>
      <c r="C591" s="141"/>
      <c r="D591" s="141"/>
      <c r="E591" s="141"/>
      <c r="F591" s="141"/>
      <c r="G591" s="141"/>
      <c r="H591" s="141"/>
      <c r="I591" s="141"/>
      <c r="J591" s="141"/>
      <c r="K591" s="141"/>
      <c r="L591" s="141"/>
      <c r="M591" s="141"/>
      <c r="N591" s="141"/>
    </row>
    <row r="592" spans="1:14" ht="16" x14ac:dyDescent="0.2">
      <c r="A592" s="141"/>
      <c r="B592" s="141"/>
      <c r="C592" s="141"/>
      <c r="D592" s="141"/>
      <c r="E592" s="141"/>
      <c r="F592" s="141"/>
      <c r="G592" s="141"/>
      <c r="H592" s="141"/>
      <c r="I592" s="141"/>
      <c r="J592" s="141"/>
      <c r="K592" s="141"/>
      <c r="L592" s="141"/>
      <c r="M592" s="141"/>
      <c r="N592" s="141"/>
    </row>
    <row r="593" spans="1:14" ht="16" x14ac:dyDescent="0.2">
      <c r="A593" s="141"/>
      <c r="B593" s="141"/>
      <c r="C593" s="141"/>
      <c r="D593" s="141"/>
      <c r="E593" s="141"/>
      <c r="F593" s="141"/>
      <c r="G593" s="141"/>
      <c r="H593" s="141"/>
      <c r="I593" s="141"/>
      <c r="J593" s="141"/>
      <c r="K593" s="141"/>
      <c r="L593" s="141"/>
      <c r="M593" s="141"/>
      <c r="N593" s="141"/>
    </row>
    <row r="594" spans="1:14" ht="16" x14ac:dyDescent="0.2">
      <c r="A594" s="141"/>
      <c r="B594" s="141"/>
      <c r="C594" s="141"/>
      <c r="D594" s="141"/>
      <c r="E594" s="141"/>
      <c r="F594" s="141"/>
      <c r="G594" s="141"/>
      <c r="H594" s="141"/>
      <c r="I594" s="141"/>
      <c r="J594" s="141"/>
      <c r="K594" s="141"/>
      <c r="L594" s="141"/>
      <c r="M594" s="141"/>
      <c r="N594" s="141"/>
    </row>
    <row r="595" spans="1:14" ht="16" x14ac:dyDescent="0.2">
      <c r="A595" s="141"/>
      <c r="B595" s="141"/>
      <c r="C595" s="141"/>
      <c r="D595" s="141"/>
      <c r="E595" s="141"/>
      <c r="F595" s="141"/>
      <c r="G595" s="141"/>
      <c r="H595" s="141"/>
      <c r="I595" s="141"/>
      <c r="J595" s="141"/>
      <c r="K595" s="141"/>
      <c r="L595" s="141"/>
      <c r="M595" s="141"/>
      <c r="N595" s="141"/>
    </row>
    <row r="596" spans="1:14" ht="16" x14ac:dyDescent="0.2">
      <c r="A596" s="141"/>
      <c r="B596" s="141"/>
      <c r="C596" s="141"/>
      <c r="D596" s="141"/>
      <c r="E596" s="141"/>
      <c r="F596" s="141"/>
      <c r="G596" s="141"/>
      <c r="H596" s="141"/>
      <c r="I596" s="141"/>
      <c r="J596" s="141"/>
      <c r="K596" s="141"/>
      <c r="L596" s="141"/>
      <c r="M596" s="141"/>
      <c r="N596" s="141"/>
    </row>
    <row r="597" spans="1:14" ht="16" x14ac:dyDescent="0.2">
      <c r="A597" s="141"/>
      <c r="B597" s="141"/>
      <c r="C597" s="141"/>
      <c r="D597" s="141"/>
      <c r="E597" s="141"/>
      <c r="F597" s="141"/>
      <c r="G597" s="141"/>
      <c r="H597" s="141"/>
      <c r="I597" s="141"/>
      <c r="J597" s="141"/>
      <c r="K597" s="141"/>
      <c r="L597" s="141"/>
      <c r="M597" s="141"/>
      <c r="N597" s="141"/>
    </row>
    <row r="598" spans="1:14" ht="16" x14ac:dyDescent="0.2">
      <c r="A598" s="141"/>
      <c r="B598" s="141"/>
      <c r="C598" s="141"/>
      <c r="D598" s="141"/>
      <c r="E598" s="141"/>
      <c r="F598" s="141"/>
      <c r="G598" s="141"/>
      <c r="H598" s="141"/>
      <c r="I598" s="141"/>
      <c r="J598" s="141"/>
      <c r="K598" s="141"/>
      <c r="L598" s="141"/>
      <c r="M598" s="141"/>
      <c r="N598" s="141"/>
    </row>
    <row r="599" spans="1:14" ht="16" x14ac:dyDescent="0.2">
      <c r="A599" s="141"/>
      <c r="B599" s="141"/>
      <c r="C599" s="141"/>
      <c r="D599" s="141"/>
      <c r="E599" s="141"/>
      <c r="F599" s="141"/>
      <c r="G599" s="141"/>
      <c r="H599" s="141"/>
      <c r="I599" s="141"/>
      <c r="J599" s="141"/>
      <c r="K599" s="141"/>
      <c r="L599" s="141"/>
      <c r="M599" s="141"/>
      <c r="N599" s="141"/>
    </row>
    <row r="600" spans="1:14" ht="16" x14ac:dyDescent="0.2">
      <c r="A600" s="141"/>
      <c r="B600" s="141"/>
      <c r="C600" s="141"/>
      <c r="D600" s="141"/>
      <c r="E600" s="141"/>
      <c r="F600" s="141"/>
      <c r="G600" s="141"/>
      <c r="H600" s="141"/>
      <c r="I600" s="141"/>
      <c r="J600" s="141"/>
      <c r="K600" s="141"/>
      <c r="L600" s="141"/>
      <c r="M600" s="141"/>
      <c r="N600" s="141"/>
    </row>
    <row r="601" spans="1:14" ht="16" x14ac:dyDescent="0.2">
      <c r="A601" s="141"/>
      <c r="B601" s="141"/>
      <c r="C601" s="141"/>
      <c r="D601" s="141"/>
      <c r="E601" s="141"/>
      <c r="F601" s="141"/>
      <c r="G601" s="141"/>
      <c r="H601" s="141"/>
      <c r="I601" s="141"/>
      <c r="J601" s="141"/>
      <c r="K601" s="141"/>
      <c r="L601" s="141"/>
      <c r="M601" s="141"/>
      <c r="N601" s="141"/>
    </row>
    <row r="602" spans="1:14" ht="16" x14ac:dyDescent="0.2">
      <c r="A602" s="141"/>
      <c r="B602" s="141"/>
      <c r="C602" s="141"/>
      <c r="D602" s="141"/>
      <c r="E602" s="141"/>
      <c r="F602" s="141"/>
      <c r="G602" s="141"/>
      <c r="H602" s="141"/>
      <c r="I602" s="141"/>
      <c r="J602" s="141"/>
      <c r="K602" s="141"/>
      <c r="L602" s="141"/>
      <c r="M602" s="141"/>
      <c r="N602" s="141"/>
    </row>
    <row r="603" spans="1:14" ht="16" x14ac:dyDescent="0.2">
      <c r="A603" s="141"/>
      <c r="B603" s="141"/>
      <c r="C603" s="141"/>
      <c r="D603" s="141"/>
      <c r="E603" s="141"/>
      <c r="F603" s="146"/>
      <c r="G603" s="141"/>
      <c r="H603" s="141"/>
      <c r="I603" s="141"/>
      <c r="J603" s="141"/>
      <c r="K603" s="141"/>
      <c r="L603" s="141"/>
      <c r="M603" s="141"/>
      <c r="N603" s="141"/>
    </row>
    <row r="604" spans="1:14" ht="16" x14ac:dyDescent="0.2">
      <c r="A604" s="141"/>
      <c r="B604" s="141"/>
      <c r="C604" s="141"/>
      <c r="D604" s="141"/>
      <c r="E604" s="141"/>
      <c r="F604" s="141"/>
      <c r="G604" s="141"/>
      <c r="H604" s="141"/>
      <c r="I604" s="141"/>
      <c r="J604" s="141"/>
      <c r="K604" s="141"/>
      <c r="L604" s="141"/>
      <c r="M604" s="141"/>
      <c r="N604" s="141"/>
    </row>
    <row r="605" spans="1:14" ht="16" x14ac:dyDescent="0.2">
      <c r="A605" s="141"/>
      <c r="B605" s="141"/>
      <c r="C605" s="141"/>
      <c r="D605" s="141"/>
      <c r="E605" s="141"/>
      <c r="F605" s="144"/>
      <c r="G605" s="141"/>
      <c r="H605" s="141"/>
      <c r="I605" s="141"/>
      <c r="J605" s="141"/>
      <c r="K605" s="141"/>
      <c r="L605" s="141"/>
      <c r="M605" s="141"/>
      <c r="N605" s="141"/>
    </row>
    <row r="606" spans="1:14" ht="16" x14ac:dyDescent="0.2">
      <c r="A606" s="141"/>
      <c r="B606" s="141"/>
      <c r="C606" s="141"/>
      <c r="D606" s="141"/>
      <c r="E606" s="141"/>
      <c r="F606" s="141"/>
      <c r="G606" s="141"/>
      <c r="H606" s="141"/>
      <c r="I606" s="141"/>
      <c r="J606" s="141"/>
      <c r="K606" s="141"/>
      <c r="L606" s="141"/>
      <c r="M606" s="141"/>
      <c r="N606" s="141"/>
    </row>
    <row r="607" spans="1:14" ht="16" x14ac:dyDescent="0.2">
      <c r="A607" s="141"/>
      <c r="B607" s="141"/>
      <c r="C607" s="141"/>
      <c r="D607" s="141"/>
      <c r="E607" s="141"/>
      <c r="F607" s="141"/>
      <c r="G607" s="141"/>
      <c r="H607" s="141"/>
      <c r="I607" s="141"/>
      <c r="J607" s="141"/>
      <c r="K607" s="141"/>
      <c r="L607" s="141"/>
      <c r="M607" s="141"/>
      <c r="N607" s="141"/>
    </row>
    <row r="608" spans="1:14" ht="16" x14ac:dyDescent="0.2">
      <c r="A608" s="141"/>
      <c r="B608" s="141"/>
      <c r="C608" s="141"/>
      <c r="D608" s="141"/>
      <c r="E608" s="141"/>
      <c r="F608" s="141"/>
      <c r="G608" s="141"/>
      <c r="H608" s="141"/>
      <c r="I608" s="141"/>
      <c r="J608" s="141"/>
      <c r="K608" s="141"/>
      <c r="L608" s="141"/>
      <c r="M608" s="141"/>
      <c r="N608" s="141"/>
    </row>
    <row r="609" spans="1:14" ht="16" x14ac:dyDescent="0.2">
      <c r="A609" s="141"/>
      <c r="B609" s="141"/>
      <c r="C609" s="141"/>
      <c r="D609" s="141"/>
      <c r="E609" s="141"/>
      <c r="F609" s="141"/>
      <c r="G609" s="141"/>
      <c r="H609" s="141"/>
      <c r="I609" s="141"/>
      <c r="J609" s="141"/>
      <c r="K609" s="141"/>
      <c r="L609" s="141"/>
      <c r="M609" s="141"/>
      <c r="N609" s="141"/>
    </row>
    <row r="610" spans="1:14" ht="16" x14ac:dyDescent="0.2">
      <c r="A610" s="141"/>
      <c r="B610" s="141"/>
      <c r="C610" s="141"/>
      <c r="D610" s="141"/>
      <c r="E610" s="141"/>
      <c r="F610" s="141"/>
      <c r="G610" s="141"/>
      <c r="H610" s="141"/>
      <c r="I610" s="141"/>
      <c r="J610" s="141"/>
      <c r="K610" s="141"/>
      <c r="L610" s="141"/>
      <c r="M610" s="141"/>
      <c r="N610" s="141"/>
    </row>
    <row r="611" spans="1:14" ht="16" x14ac:dyDescent="0.2">
      <c r="A611" s="141"/>
      <c r="B611" s="141"/>
      <c r="C611" s="141"/>
      <c r="D611" s="141"/>
      <c r="E611" s="141"/>
      <c r="F611" s="141"/>
      <c r="G611" s="141"/>
      <c r="H611" s="141"/>
      <c r="I611" s="141"/>
      <c r="J611" s="141"/>
      <c r="K611" s="141"/>
      <c r="L611" s="141"/>
      <c r="M611" s="141"/>
      <c r="N611" s="141"/>
    </row>
    <row r="612" spans="1:14" ht="16" x14ac:dyDescent="0.2">
      <c r="A612" s="141"/>
      <c r="B612" s="141"/>
      <c r="C612" s="141"/>
      <c r="D612" s="141"/>
      <c r="E612" s="141"/>
      <c r="F612" s="141"/>
      <c r="G612" s="141"/>
      <c r="H612" s="141"/>
      <c r="I612" s="141"/>
      <c r="J612" s="141"/>
      <c r="K612" s="141"/>
      <c r="L612" s="141"/>
      <c r="M612" s="141"/>
      <c r="N612" s="141"/>
    </row>
    <row r="613" spans="1:14" ht="16" x14ac:dyDescent="0.2">
      <c r="A613" s="141"/>
      <c r="B613" s="141"/>
      <c r="C613" s="141"/>
      <c r="D613" s="141"/>
      <c r="E613" s="141"/>
      <c r="F613" s="141"/>
      <c r="G613" s="141"/>
      <c r="H613" s="141"/>
      <c r="I613" s="141"/>
      <c r="J613" s="141"/>
      <c r="K613" s="141"/>
      <c r="L613" s="141"/>
      <c r="M613" s="141"/>
      <c r="N613" s="141"/>
    </row>
    <row r="614" spans="1:14" ht="16" x14ac:dyDescent="0.2">
      <c r="A614" s="141"/>
      <c r="B614" s="141"/>
      <c r="C614" s="141"/>
      <c r="D614" s="142"/>
      <c r="E614" s="141"/>
      <c r="F614" s="141"/>
      <c r="G614" s="141"/>
      <c r="H614" s="141"/>
      <c r="I614" s="141"/>
      <c r="J614" s="141"/>
      <c r="K614" s="141"/>
      <c r="L614" s="141"/>
      <c r="M614" s="141"/>
      <c r="N614" s="141"/>
    </row>
    <row r="615" spans="1:14" ht="16" x14ac:dyDescent="0.2">
      <c r="A615" s="141"/>
      <c r="B615" s="141"/>
      <c r="C615" s="141"/>
      <c r="D615" s="141"/>
      <c r="E615" s="141"/>
      <c r="F615" s="141"/>
      <c r="G615" s="141"/>
      <c r="H615" s="141"/>
      <c r="I615" s="141"/>
      <c r="J615" s="141"/>
      <c r="K615" s="141"/>
      <c r="L615" s="141"/>
      <c r="M615" s="141"/>
      <c r="N615" s="141"/>
    </row>
    <row r="616" spans="1:14" ht="16" x14ac:dyDescent="0.2">
      <c r="A616" s="141"/>
      <c r="B616" s="141"/>
      <c r="C616" s="141"/>
      <c r="D616" s="141"/>
      <c r="E616" s="141"/>
      <c r="F616" s="141"/>
      <c r="G616" s="141"/>
      <c r="H616" s="141"/>
      <c r="I616" s="141"/>
      <c r="J616" s="141"/>
      <c r="K616" s="141"/>
      <c r="L616" s="141"/>
      <c r="M616" s="141"/>
      <c r="N616" s="141"/>
    </row>
    <row r="617" spans="1:14" ht="16" x14ac:dyDescent="0.2">
      <c r="A617" s="141"/>
      <c r="B617" s="141"/>
      <c r="C617" s="141"/>
      <c r="D617" s="141"/>
      <c r="E617" s="141"/>
      <c r="F617" s="141"/>
      <c r="G617" s="141"/>
      <c r="H617" s="141"/>
      <c r="I617" s="141"/>
      <c r="J617" s="141"/>
      <c r="K617" s="141"/>
      <c r="L617" s="141"/>
      <c r="M617" s="141"/>
      <c r="N617" s="141"/>
    </row>
    <row r="618" spans="1:14" ht="16" x14ac:dyDescent="0.2">
      <c r="A618" s="141"/>
      <c r="B618" s="141"/>
      <c r="C618" s="141"/>
      <c r="D618" s="141"/>
      <c r="E618" s="141"/>
      <c r="F618" s="141"/>
      <c r="G618" s="141"/>
      <c r="H618" s="141"/>
      <c r="I618" s="141"/>
      <c r="J618" s="141"/>
      <c r="K618" s="141"/>
      <c r="L618" s="141"/>
      <c r="M618" s="141"/>
      <c r="N618" s="141"/>
    </row>
    <row r="619" spans="1:14" ht="16" x14ac:dyDescent="0.2">
      <c r="A619" s="141"/>
      <c r="B619" s="141"/>
      <c r="C619" s="141"/>
      <c r="D619" s="141"/>
      <c r="E619" s="141"/>
      <c r="F619" s="141"/>
      <c r="G619" s="141"/>
      <c r="H619" s="141"/>
      <c r="I619" s="141"/>
      <c r="J619" s="141"/>
      <c r="K619" s="141"/>
      <c r="L619" s="141"/>
      <c r="M619" s="141"/>
      <c r="N619" s="141"/>
    </row>
    <row r="620" spans="1:14" ht="16" x14ac:dyDescent="0.2">
      <c r="A620" s="141"/>
      <c r="B620" s="141"/>
      <c r="C620" s="141"/>
      <c r="D620" s="141"/>
      <c r="E620" s="141"/>
      <c r="F620" s="141"/>
      <c r="G620" s="141"/>
      <c r="H620" s="141"/>
      <c r="I620" s="141"/>
      <c r="J620" s="141"/>
      <c r="K620" s="141"/>
      <c r="L620" s="141"/>
      <c r="M620" s="141"/>
      <c r="N620" s="141"/>
    </row>
    <row r="621" spans="1:14" ht="16" x14ac:dyDescent="0.2">
      <c r="A621" s="141"/>
      <c r="B621" s="141"/>
      <c r="C621" s="141"/>
      <c r="D621" s="141"/>
      <c r="E621" s="141"/>
      <c r="F621" s="141"/>
      <c r="G621" s="141"/>
      <c r="H621" s="141"/>
      <c r="I621" s="141"/>
      <c r="J621" s="141"/>
      <c r="K621" s="141"/>
      <c r="L621" s="141"/>
      <c r="M621" s="141"/>
      <c r="N621" s="141"/>
    </row>
    <row r="622" spans="1:14" ht="16" x14ac:dyDescent="0.2">
      <c r="A622" s="141"/>
      <c r="B622" s="141"/>
      <c r="C622" s="141"/>
      <c r="D622" s="141"/>
      <c r="E622" s="141"/>
      <c r="F622" s="141"/>
      <c r="G622" s="141"/>
      <c r="H622" s="141"/>
      <c r="I622" s="141"/>
      <c r="J622" s="141"/>
      <c r="K622" s="141"/>
      <c r="L622" s="141"/>
      <c r="M622" s="141"/>
      <c r="N622" s="141"/>
    </row>
    <row r="623" spans="1:14" ht="16" x14ac:dyDescent="0.2">
      <c r="A623" s="141"/>
      <c r="B623" s="141"/>
      <c r="C623" s="141"/>
      <c r="D623" s="141"/>
      <c r="E623" s="141"/>
      <c r="F623" s="141"/>
      <c r="G623" s="141"/>
      <c r="H623" s="141"/>
      <c r="I623" s="141"/>
      <c r="J623" s="141"/>
      <c r="K623" s="141"/>
      <c r="L623" s="141"/>
      <c r="M623" s="141"/>
      <c r="N623" s="141"/>
    </row>
    <row r="624" spans="1:14" ht="16" x14ac:dyDescent="0.2">
      <c r="A624" s="141"/>
      <c r="B624" s="141"/>
      <c r="C624" s="141"/>
      <c r="D624" s="141"/>
      <c r="E624" s="141"/>
      <c r="F624" s="141"/>
      <c r="G624" s="141"/>
      <c r="H624" s="141"/>
      <c r="I624" s="141"/>
      <c r="J624" s="141"/>
      <c r="K624" s="141"/>
      <c r="L624" s="141"/>
      <c r="M624" s="141"/>
      <c r="N624" s="141"/>
    </row>
    <row r="625" spans="1:14" ht="16" x14ac:dyDescent="0.2">
      <c r="A625" s="141"/>
      <c r="B625" s="141"/>
      <c r="C625" s="141"/>
      <c r="D625" s="141"/>
      <c r="E625" s="141"/>
      <c r="F625" s="141"/>
      <c r="G625" s="141"/>
      <c r="H625" s="141"/>
      <c r="I625" s="141"/>
      <c r="J625" s="141"/>
      <c r="K625" s="141"/>
      <c r="L625" s="141"/>
      <c r="M625" s="141"/>
      <c r="N625" s="141"/>
    </row>
    <row r="626" spans="1:14" ht="16" x14ac:dyDescent="0.2">
      <c r="A626" s="141"/>
      <c r="B626" s="141"/>
      <c r="C626" s="141"/>
      <c r="D626" s="141"/>
      <c r="E626" s="141"/>
      <c r="F626" s="141"/>
      <c r="G626" s="141"/>
      <c r="H626" s="141"/>
      <c r="I626" s="141"/>
      <c r="J626" s="141"/>
      <c r="K626" s="141"/>
      <c r="L626" s="141"/>
      <c r="M626" s="141"/>
      <c r="N626" s="141"/>
    </row>
    <row r="627" spans="1:14" ht="16" x14ac:dyDescent="0.2">
      <c r="A627" s="141"/>
      <c r="B627" s="141"/>
      <c r="C627" s="141"/>
      <c r="D627" s="141"/>
      <c r="E627" s="141"/>
      <c r="F627" s="141"/>
      <c r="G627" s="141"/>
      <c r="H627" s="141"/>
      <c r="I627" s="141"/>
      <c r="J627" s="141"/>
      <c r="K627" s="141"/>
      <c r="L627" s="141"/>
      <c r="M627" s="141"/>
      <c r="N627" s="141"/>
    </row>
    <row r="628" spans="1:14" ht="16" x14ac:dyDescent="0.2">
      <c r="A628" s="141"/>
      <c r="B628" s="141"/>
      <c r="C628" s="141"/>
      <c r="D628" s="141"/>
      <c r="E628" s="141"/>
      <c r="F628" s="141"/>
      <c r="G628" s="141"/>
      <c r="H628" s="141"/>
      <c r="I628" s="141"/>
      <c r="J628" s="141"/>
      <c r="K628" s="141"/>
      <c r="L628" s="141"/>
      <c r="M628" s="141"/>
      <c r="N628" s="141"/>
    </row>
    <row r="629" spans="1:14" ht="16" x14ac:dyDescent="0.2">
      <c r="A629" s="141"/>
      <c r="B629" s="141"/>
      <c r="C629" s="141"/>
      <c r="D629" s="141"/>
      <c r="E629" s="141"/>
      <c r="F629" s="141"/>
      <c r="G629" s="141"/>
      <c r="H629" s="141"/>
      <c r="I629" s="141"/>
      <c r="J629" s="141"/>
      <c r="K629" s="141"/>
      <c r="L629" s="141"/>
      <c r="M629" s="141"/>
      <c r="N629" s="141"/>
    </row>
    <row r="630" spans="1:14" ht="16" x14ac:dyDescent="0.2">
      <c r="A630" s="141"/>
      <c r="B630" s="141"/>
      <c r="C630" s="141"/>
      <c r="D630" s="141"/>
      <c r="E630" s="141"/>
      <c r="F630" s="141"/>
      <c r="G630" s="141"/>
      <c r="H630" s="141"/>
      <c r="I630" s="141"/>
      <c r="J630" s="141"/>
      <c r="K630" s="141"/>
      <c r="L630" s="141"/>
      <c r="M630" s="141"/>
      <c r="N630" s="141"/>
    </row>
    <row r="631" spans="1:14" ht="16" x14ac:dyDescent="0.2">
      <c r="A631" s="157"/>
      <c r="B631" s="157"/>
      <c r="C631" s="157"/>
      <c r="D631" s="157"/>
      <c r="E631" s="157"/>
      <c r="F631" s="157"/>
      <c r="G631" s="159"/>
      <c r="H631" s="157"/>
      <c r="I631" s="157"/>
      <c r="J631" s="141"/>
      <c r="K631" s="141"/>
      <c r="L631" s="141"/>
      <c r="M631" s="141"/>
      <c r="N631" s="141"/>
    </row>
    <row r="632" spans="1:14" ht="16" x14ac:dyDescent="0.2">
      <c r="A632" s="157"/>
      <c r="B632" s="157"/>
      <c r="C632" s="157"/>
      <c r="D632" s="157"/>
      <c r="E632" s="157"/>
      <c r="F632" s="157"/>
      <c r="G632" s="159"/>
      <c r="H632" s="157"/>
      <c r="I632" s="157"/>
    </row>
    <row r="633" spans="1:14" ht="16" x14ac:dyDescent="0.2">
      <c r="A633" s="157"/>
      <c r="B633" s="157"/>
      <c r="C633" s="157"/>
      <c r="D633" s="157"/>
      <c r="E633" s="157"/>
      <c r="F633" s="157"/>
      <c r="G633" s="159"/>
      <c r="H633" s="157"/>
      <c r="I633" s="157"/>
    </row>
    <row r="634" spans="1:14" ht="16" x14ac:dyDescent="0.2">
      <c r="A634" s="157"/>
      <c r="B634" s="157"/>
      <c r="C634" s="157"/>
      <c r="D634" s="157"/>
      <c r="E634" s="157"/>
      <c r="F634" s="157"/>
      <c r="G634" s="159"/>
      <c r="H634" s="157"/>
      <c r="I634" s="157"/>
    </row>
    <row r="635" spans="1:14" ht="16" x14ac:dyDescent="0.2">
      <c r="A635" s="157"/>
      <c r="B635" s="157"/>
      <c r="C635" s="157"/>
      <c r="D635" s="157"/>
      <c r="E635" s="157"/>
      <c r="F635" s="157"/>
      <c r="G635" s="159"/>
      <c r="H635" s="157"/>
      <c r="I635" s="157"/>
    </row>
    <row r="636" spans="1:14" ht="16" x14ac:dyDescent="0.2">
      <c r="A636" s="157"/>
      <c r="B636" s="157"/>
      <c r="C636" s="157"/>
      <c r="D636" s="157"/>
      <c r="E636" s="157"/>
      <c r="F636" s="157"/>
      <c r="G636" s="159"/>
      <c r="H636" s="157"/>
      <c r="I636" s="157"/>
    </row>
    <row r="637" spans="1:14" ht="16" x14ac:dyDescent="0.2">
      <c r="A637" s="157"/>
      <c r="B637" s="157"/>
      <c r="C637" s="157"/>
      <c r="D637" s="157"/>
      <c r="E637" s="157"/>
      <c r="F637" s="160"/>
      <c r="G637" s="159"/>
      <c r="H637" s="157"/>
      <c r="I637" s="157"/>
    </row>
    <row r="638" spans="1:14" ht="16" x14ac:dyDescent="0.2">
      <c r="A638" s="157"/>
      <c r="B638" s="157"/>
      <c r="C638" s="157"/>
      <c r="D638" s="157"/>
      <c r="E638" s="157"/>
      <c r="F638" s="157"/>
      <c r="G638" s="159"/>
      <c r="H638" s="157"/>
      <c r="I638" s="157"/>
    </row>
    <row r="639" spans="1:14" ht="16" x14ac:dyDescent="0.2">
      <c r="A639" s="157"/>
      <c r="B639" s="157"/>
      <c r="C639" s="157"/>
      <c r="D639" s="157"/>
      <c r="E639" s="157"/>
      <c r="F639" s="157"/>
      <c r="G639" s="159"/>
      <c r="H639" s="157"/>
      <c r="I639" s="157"/>
    </row>
    <row r="640" spans="1:14" ht="16" x14ac:dyDescent="0.2">
      <c r="A640" s="157"/>
      <c r="B640" s="157"/>
      <c r="C640" s="157"/>
      <c r="D640" s="157"/>
      <c r="E640" s="157"/>
      <c r="F640" s="157"/>
      <c r="G640" s="159"/>
      <c r="H640" s="157"/>
      <c r="I640" s="157"/>
    </row>
    <row r="641" spans="1:9" ht="16" x14ac:dyDescent="0.2">
      <c r="A641" s="157"/>
      <c r="B641" s="157"/>
      <c r="C641" s="157"/>
      <c r="D641" s="157"/>
      <c r="E641" s="157"/>
      <c r="F641" s="157"/>
      <c r="G641" s="159"/>
      <c r="H641" s="157"/>
      <c r="I641" s="157"/>
    </row>
    <row r="642" spans="1:9" ht="16" x14ac:dyDescent="0.2">
      <c r="A642" s="157"/>
      <c r="B642" s="157"/>
      <c r="C642" s="157"/>
      <c r="D642" s="157"/>
      <c r="E642" s="157"/>
      <c r="F642" s="161"/>
      <c r="G642" s="159"/>
      <c r="H642" s="157"/>
      <c r="I642" s="157"/>
    </row>
    <row r="643" spans="1:9" ht="16" x14ac:dyDescent="0.2">
      <c r="A643" s="157"/>
      <c r="B643" s="157"/>
      <c r="C643" s="157"/>
      <c r="D643" s="157"/>
      <c r="E643" s="157"/>
      <c r="F643" s="161"/>
      <c r="G643" s="159"/>
      <c r="H643" s="157"/>
      <c r="I643" s="157"/>
    </row>
    <row r="644" spans="1:9" ht="16" x14ac:dyDescent="0.2">
      <c r="A644" s="157"/>
      <c r="B644" s="157"/>
      <c r="C644" s="157"/>
      <c r="D644" s="157"/>
      <c r="E644" s="157"/>
      <c r="F644" s="157"/>
      <c r="G644" s="159"/>
      <c r="H644" s="157"/>
      <c r="I644" s="157"/>
    </row>
    <row r="645" spans="1:9" ht="16" x14ac:dyDescent="0.2">
      <c r="A645" s="157"/>
      <c r="B645" s="157"/>
      <c r="C645" s="157"/>
      <c r="D645" s="157"/>
      <c r="E645" s="157"/>
      <c r="F645" s="157"/>
      <c r="G645" s="159"/>
      <c r="H645" s="157"/>
      <c r="I645" s="157"/>
    </row>
    <row r="646" spans="1:9" ht="16" x14ac:dyDescent="0.2">
      <c r="A646" s="157"/>
      <c r="B646" s="157"/>
      <c r="C646" s="157"/>
      <c r="D646" s="157"/>
      <c r="E646" s="157"/>
      <c r="F646" s="157"/>
      <c r="G646" s="159"/>
      <c r="H646" s="157"/>
      <c r="I646" s="157"/>
    </row>
    <row r="647" spans="1:9" ht="16" x14ac:dyDescent="0.2">
      <c r="A647" s="157"/>
      <c r="B647" s="157"/>
      <c r="C647" s="157"/>
      <c r="D647" s="157"/>
      <c r="E647" s="157"/>
      <c r="F647" s="157"/>
      <c r="G647" s="159"/>
      <c r="H647" s="157"/>
      <c r="I647" s="157"/>
    </row>
    <row r="648" spans="1:9" ht="16" x14ac:dyDescent="0.2">
      <c r="A648" s="157"/>
      <c r="B648" s="157"/>
      <c r="C648" s="157"/>
      <c r="D648" s="157"/>
      <c r="E648" s="157"/>
      <c r="F648" s="157"/>
      <c r="G648" s="159"/>
      <c r="H648" s="157"/>
      <c r="I648" s="157"/>
    </row>
    <row r="649" spans="1:9" ht="16" x14ac:dyDescent="0.2">
      <c r="A649" s="157"/>
      <c r="B649" s="157"/>
      <c r="C649" s="157"/>
      <c r="D649" s="157"/>
      <c r="E649" s="157"/>
      <c r="F649" s="157"/>
      <c r="G649" s="159"/>
      <c r="H649" s="157"/>
      <c r="I649" s="157"/>
    </row>
    <row r="650" spans="1:9" ht="16" x14ac:dyDescent="0.2">
      <c r="A650" s="157"/>
      <c r="B650" s="157"/>
      <c r="C650" s="157"/>
      <c r="D650" s="157"/>
      <c r="E650" s="157"/>
      <c r="F650" s="157"/>
      <c r="G650" s="159"/>
      <c r="H650" s="157"/>
      <c r="I650" s="157"/>
    </row>
    <row r="651" spans="1:9" ht="16" x14ac:dyDescent="0.2">
      <c r="A651" s="157"/>
      <c r="B651" s="157"/>
      <c r="C651" s="157"/>
      <c r="D651" s="157"/>
      <c r="E651" s="157"/>
      <c r="F651" s="157"/>
      <c r="G651" s="159"/>
      <c r="H651" s="157"/>
      <c r="I651" s="157"/>
    </row>
    <row r="652" spans="1:9" ht="16" x14ac:dyDescent="0.2">
      <c r="A652" s="157"/>
      <c r="B652" s="157"/>
      <c r="C652" s="157"/>
      <c r="D652" s="157"/>
      <c r="E652" s="157"/>
      <c r="F652" s="157"/>
      <c r="G652" s="159"/>
      <c r="H652" s="157"/>
      <c r="I652" s="157"/>
    </row>
    <row r="653" spans="1:9" ht="16" x14ac:dyDescent="0.2">
      <c r="A653" s="157"/>
      <c r="B653" s="157"/>
      <c r="C653" s="157"/>
      <c r="D653" s="157"/>
      <c r="E653" s="157"/>
      <c r="F653" s="157"/>
      <c r="G653" s="159"/>
      <c r="H653" s="157"/>
      <c r="I653" s="157"/>
    </row>
    <row r="654" spans="1:9" ht="16" x14ac:dyDescent="0.2">
      <c r="A654" s="157"/>
      <c r="B654" s="157"/>
      <c r="C654" s="157"/>
      <c r="D654" s="157"/>
      <c r="E654" s="157"/>
      <c r="F654" s="157"/>
      <c r="G654" s="159"/>
      <c r="H654" s="157"/>
      <c r="I654" s="157"/>
    </row>
    <row r="655" spans="1:9" ht="16" x14ac:dyDescent="0.2">
      <c r="A655" s="157"/>
      <c r="B655" s="157"/>
      <c r="C655" s="157"/>
      <c r="D655" s="157"/>
      <c r="E655" s="157"/>
      <c r="F655" s="157"/>
      <c r="G655" s="159"/>
      <c r="H655" s="157"/>
      <c r="I655" s="157"/>
    </row>
    <row r="656" spans="1:9" ht="16" x14ac:dyDescent="0.2">
      <c r="A656" s="157"/>
      <c r="B656" s="157"/>
      <c r="C656" s="157"/>
      <c r="D656" s="157"/>
      <c r="E656" s="157"/>
      <c r="F656" s="157"/>
      <c r="G656" s="159"/>
      <c r="H656" s="157"/>
      <c r="I656" s="157"/>
    </row>
    <row r="657" spans="1:9" ht="16" x14ac:dyDescent="0.2">
      <c r="A657" s="157"/>
      <c r="B657" s="157"/>
      <c r="C657" s="157"/>
      <c r="D657" s="157"/>
      <c r="E657" s="157"/>
      <c r="F657" s="157"/>
      <c r="G657" s="159"/>
      <c r="H657" s="157"/>
      <c r="I657" s="157"/>
    </row>
    <row r="658" spans="1:9" ht="16" x14ac:dyDescent="0.2">
      <c r="A658" s="157"/>
      <c r="B658" s="157"/>
      <c r="C658" s="157"/>
      <c r="D658" s="157"/>
      <c r="E658" s="157"/>
      <c r="F658" s="157"/>
      <c r="G658" s="159"/>
      <c r="H658" s="157"/>
      <c r="I658" s="157"/>
    </row>
    <row r="659" spans="1:9" ht="16" x14ac:dyDescent="0.2">
      <c r="A659" s="157"/>
      <c r="B659" s="157"/>
      <c r="C659" s="157"/>
      <c r="D659" s="157"/>
      <c r="E659" s="157"/>
      <c r="F659" s="157"/>
      <c r="G659" s="159"/>
      <c r="H659" s="157"/>
      <c r="I659" s="157"/>
    </row>
    <row r="660" spans="1:9" ht="16" x14ac:dyDescent="0.2">
      <c r="A660" s="157"/>
      <c r="B660" s="157"/>
      <c r="C660" s="157"/>
      <c r="D660" s="157"/>
      <c r="E660" s="157"/>
      <c r="F660" s="157"/>
      <c r="G660" s="159"/>
      <c r="H660" s="157"/>
      <c r="I660" s="157"/>
    </row>
    <row r="661" spans="1:9" ht="16" x14ac:dyDescent="0.2">
      <c r="A661" s="157"/>
      <c r="B661" s="157"/>
      <c r="C661" s="157"/>
      <c r="D661" s="157"/>
      <c r="E661" s="157"/>
      <c r="F661" s="157"/>
      <c r="G661" s="159"/>
      <c r="H661" s="157"/>
      <c r="I661" s="157"/>
    </row>
    <row r="662" spans="1:9" ht="16" x14ac:dyDescent="0.2">
      <c r="A662" s="157"/>
      <c r="B662" s="157"/>
      <c r="C662" s="157"/>
      <c r="D662" s="157"/>
      <c r="E662" s="157"/>
      <c r="F662" s="157"/>
      <c r="G662" s="159"/>
      <c r="H662" s="157"/>
      <c r="I662" s="157"/>
    </row>
    <row r="663" spans="1:9" ht="16" x14ac:dyDescent="0.2">
      <c r="A663" s="157"/>
      <c r="B663" s="157"/>
      <c r="C663" s="157"/>
      <c r="D663" s="157"/>
      <c r="E663" s="157"/>
      <c r="F663" s="157"/>
      <c r="G663" s="159"/>
      <c r="H663" s="157"/>
      <c r="I663" s="157"/>
    </row>
    <row r="664" spans="1:9" ht="16" x14ac:dyDescent="0.2">
      <c r="A664" s="157"/>
      <c r="B664" s="157"/>
      <c r="C664" s="157"/>
      <c r="D664" s="157"/>
      <c r="E664" s="157"/>
      <c r="F664" s="157"/>
      <c r="G664" s="159"/>
      <c r="H664" s="157"/>
      <c r="I664" s="157"/>
    </row>
    <row r="665" spans="1:9" ht="16" x14ac:dyDescent="0.2">
      <c r="A665" s="157"/>
      <c r="B665" s="157"/>
      <c r="C665" s="157"/>
      <c r="D665" s="157"/>
      <c r="E665" s="157"/>
      <c r="F665" s="157"/>
      <c r="G665" s="159"/>
      <c r="H665" s="157"/>
      <c r="I665" s="157"/>
    </row>
    <row r="666" spans="1:9" ht="16" x14ac:dyDescent="0.2">
      <c r="A666" s="157"/>
      <c r="B666" s="157"/>
      <c r="C666" s="157"/>
      <c r="D666" s="157"/>
      <c r="E666" s="157"/>
      <c r="F666" s="157"/>
      <c r="G666" s="159"/>
      <c r="H666" s="157"/>
      <c r="I666" s="157"/>
    </row>
    <row r="667" spans="1:9" ht="16" x14ac:dyDescent="0.2">
      <c r="A667" s="157"/>
      <c r="B667" s="157"/>
      <c r="C667" s="157"/>
      <c r="D667" s="157"/>
      <c r="E667" s="157"/>
      <c r="F667" s="157"/>
      <c r="G667" s="159"/>
      <c r="H667" s="157"/>
      <c r="I667" s="157"/>
    </row>
    <row r="668" spans="1:9" ht="16" x14ac:dyDescent="0.2">
      <c r="A668" s="157"/>
      <c r="B668" s="157"/>
      <c r="C668" s="157"/>
      <c r="D668" s="157"/>
      <c r="E668" s="157"/>
      <c r="F668" s="157"/>
      <c r="G668" s="159"/>
      <c r="H668" s="157"/>
      <c r="I668" s="157"/>
    </row>
    <row r="669" spans="1:9" ht="16" x14ac:dyDescent="0.2">
      <c r="A669" s="157"/>
      <c r="B669" s="157"/>
      <c r="C669" s="157"/>
      <c r="D669" s="157"/>
      <c r="E669" s="157"/>
      <c r="F669" s="157"/>
      <c r="G669" s="159"/>
      <c r="H669" s="157"/>
      <c r="I669" s="157"/>
    </row>
    <row r="670" spans="1:9" ht="16" x14ac:dyDescent="0.2">
      <c r="A670" s="157"/>
      <c r="B670" s="157"/>
      <c r="C670" s="157"/>
      <c r="D670" s="157"/>
      <c r="E670" s="157"/>
      <c r="F670" s="157"/>
      <c r="G670" s="159"/>
      <c r="H670" s="157"/>
      <c r="I670" s="157"/>
    </row>
    <row r="671" spans="1:9" ht="16" x14ac:dyDescent="0.2">
      <c r="A671" s="157"/>
      <c r="B671" s="157"/>
      <c r="C671" s="157"/>
      <c r="D671" s="157"/>
      <c r="E671" s="157"/>
      <c r="F671" s="157"/>
      <c r="G671" s="159"/>
      <c r="H671" s="157"/>
      <c r="I671" s="157"/>
    </row>
    <row r="672" spans="1:9" ht="16" x14ac:dyDescent="0.2">
      <c r="A672" s="157"/>
      <c r="B672" s="157"/>
      <c r="C672" s="157"/>
      <c r="D672" s="157"/>
      <c r="E672" s="157"/>
      <c r="F672" s="157"/>
      <c r="G672" s="159"/>
      <c r="H672" s="157"/>
      <c r="I672" s="157"/>
    </row>
    <row r="673" spans="1:9" ht="16" x14ac:dyDescent="0.2">
      <c r="A673" s="157"/>
      <c r="B673" s="157"/>
      <c r="C673" s="157"/>
      <c r="D673" s="157"/>
      <c r="E673" s="157"/>
      <c r="F673" s="157"/>
      <c r="G673" s="159"/>
      <c r="H673" s="157"/>
      <c r="I673" s="157"/>
    </row>
    <row r="674" spans="1:9" ht="16" x14ac:dyDescent="0.2">
      <c r="A674" s="157"/>
      <c r="B674" s="157"/>
      <c r="C674" s="157"/>
      <c r="D674" s="157"/>
      <c r="E674" s="157"/>
      <c r="F674" s="157"/>
      <c r="G674" s="159"/>
      <c r="H674" s="157"/>
      <c r="I674" s="157"/>
    </row>
    <row r="675" spans="1:9" ht="16" x14ac:dyDescent="0.2">
      <c r="A675" s="157"/>
      <c r="B675" s="157"/>
      <c r="C675" s="157"/>
      <c r="D675" s="157"/>
      <c r="E675" s="157"/>
      <c r="F675" s="162"/>
      <c r="G675" s="159"/>
      <c r="H675" s="157"/>
      <c r="I675" s="157"/>
    </row>
    <row r="676" spans="1:9" ht="16" x14ac:dyDescent="0.2">
      <c r="A676" s="157"/>
      <c r="B676" s="157"/>
      <c r="C676" s="157"/>
      <c r="D676" s="157"/>
      <c r="E676" s="157"/>
      <c r="F676" s="157"/>
      <c r="G676" s="159"/>
      <c r="H676" s="157"/>
      <c r="I676" s="157"/>
    </row>
    <row r="677" spans="1:9" ht="16" x14ac:dyDescent="0.2">
      <c r="A677" s="157"/>
      <c r="B677" s="157"/>
      <c r="C677" s="157"/>
      <c r="D677" s="157"/>
      <c r="E677" s="157"/>
      <c r="F677" s="157"/>
      <c r="G677" s="159"/>
      <c r="H677" s="157"/>
      <c r="I677" s="157"/>
    </row>
    <row r="678" spans="1:9" ht="16" x14ac:dyDescent="0.2">
      <c r="A678" s="157"/>
      <c r="B678" s="157"/>
      <c r="C678" s="157"/>
      <c r="D678" s="157"/>
      <c r="E678" s="157"/>
      <c r="F678" s="157"/>
      <c r="G678" s="159"/>
      <c r="H678" s="157"/>
      <c r="I678" s="157"/>
    </row>
    <row r="679" spans="1:9" ht="16" x14ac:dyDescent="0.2">
      <c r="A679" s="157"/>
      <c r="B679" s="157"/>
      <c r="C679" s="157"/>
      <c r="D679" s="157"/>
      <c r="E679" s="157"/>
      <c r="F679" s="157"/>
      <c r="G679" s="159"/>
      <c r="H679" s="157"/>
      <c r="I679" s="157"/>
    </row>
    <row r="680" spans="1:9" ht="16" x14ac:dyDescent="0.2">
      <c r="A680" s="157"/>
      <c r="B680" s="157"/>
      <c r="C680" s="157"/>
      <c r="D680" s="157"/>
      <c r="E680" s="157"/>
      <c r="F680" s="157"/>
      <c r="G680" s="159"/>
      <c r="H680" s="157"/>
      <c r="I680" s="157"/>
    </row>
    <row r="681" spans="1:9" ht="16" x14ac:dyDescent="0.2">
      <c r="A681" s="157"/>
      <c r="B681" s="157"/>
      <c r="C681" s="157"/>
      <c r="D681" s="157"/>
      <c r="E681" s="157"/>
      <c r="F681" s="157"/>
      <c r="G681" s="159"/>
      <c r="H681" s="157"/>
      <c r="I681" s="157"/>
    </row>
    <row r="682" spans="1:9" ht="16" x14ac:dyDescent="0.2">
      <c r="A682" s="157"/>
      <c r="B682" s="157"/>
      <c r="C682" s="157"/>
      <c r="D682" s="157"/>
      <c r="E682" s="157"/>
      <c r="F682" s="157"/>
      <c r="G682" s="159"/>
      <c r="H682" s="157"/>
      <c r="I682" s="157"/>
    </row>
    <row r="683" spans="1:9" ht="16" x14ac:dyDescent="0.2">
      <c r="A683" s="157"/>
      <c r="B683" s="157"/>
      <c r="C683" s="157"/>
      <c r="D683" s="157"/>
      <c r="E683" s="157"/>
      <c r="F683" s="157"/>
      <c r="G683" s="159"/>
      <c r="H683" s="157"/>
      <c r="I683" s="157"/>
    </row>
    <row r="684" spans="1:9" ht="16" x14ac:dyDescent="0.2">
      <c r="A684" s="157"/>
      <c r="B684" s="157"/>
      <c r="C684" s="157"/>
      <c r="D684" s="157"/>
      <c r="E684" s="157"/>
      <c r="F684" s="157"/>
      <c r="G684" s="159"/>
      <c r="H684" s="157"/>
      <c r="I684" s="157"/>
    </row>
    <row r="685" spans="1:9" ht="16" x14ac:dyDescent="0.2">
      <c r="A685" s="157"/>
      <c r="B685" s="157"/>
      <c r="C685" s="157"/>
      <c r="D685" s="157"/>
      <c r="E685" s="157"/>
      <c r="F685" s="157"/>
      <c r="G685" s="159"/>
      <c r="H685" s="157"/>
      <c r="I685" s="157"/>
    </row>
    <row r="686" spans="1:9" ht="16" x14ac:dyDescent="0.2">
      <c r="A686" s="157"/>
      <c r="B686" s="157"/>
      <c r="C686" s="157"/>
      <c r="D686" s="157"/>
      <c r="E686" s="157"/>
      <c r="F686" s="157"/>
      <c r="G686" s="159"/>
      <c r="H686" s="157"/>
      <c r="I686" s="157"/>
    </row>
    <row r="687" spans="1:9" ht="16" x14ac:dyDescent="0.2">
      <c r="A687" s="157"/>
      <c r="B687" s="157"/>
      <c r="C687" s="157"/>
      <c r="D687" s="157"/>
      <c r="E687" s="157"/>
      <c r="F687" s="157"/>
      <c r="G687" s="159"/>
      <c r="H687" s="157"/>
      <c r="I687" s="157"/>
    </row>
    <row r="688" spans="1:9" ht="16" x14ac:dyDescent="0.2">
      <c r="A688" s="157"/>
      <c r="B688" s="157"/>
      <c r="C688" s="157"/>
      <c r="D688" s="157"/>
      <c r="E688" s="157"/>
      <c r="F688" s="157"/>
      <c r="G688" s="159"/>
      <c r="H688" s="157"/>
      <c r="I688" s="157"/>
    </row>
    <row r="689" spans="1:9" ht="16" x14ac:dyDescent="0.2">
      <c r="A689" s="157"/>
      <c r="B689" s="157"/>
      <c r="C689" s="157"/>
      <c r="D689" s="157"/>
      <c r="E689" s="157"/>
      <c r="F689" s="157"/>
      <c r="G689" s="159"/>
      <c r="H689" s="157"/>
      <c r="I689" s="157"/>
    </row>
    <row r="690" spans="1:9" ht="16" x14ac:dyDescent="0.2">
      <c r="A690" s="157"/>
      <c r="B690" s="157"/>
      <c r="C690" s="157"/>
      <c r="D690" s="157"/>
      <c r="E690" s="157"/>
      <c r="F690" s="157"/>
      <c r="G690" s="159"/>
      <c r="H690" s="157"/>
      <c r="I690" s="157"/>
    </row>
    <row r="691" spans="1:9" ht="16" x14ac:dyDescent="0.2">
      <c r="A691" s="157"/>
      <c r="B691" s="157"/>
      <c r="C691" s="157"/>
      <c r="D691" s="157"/>
      <c r="E691" s="157"/>
      <c r="F691" s="157"/>
      <c r="G691" s="159"/>
      <c r="H691" s="157"/>
      <c r="I691" s="157"/>
    </row>
    <row r="692" spans="1:9" ht="16" x14ac:dyDescent="0.2">
      <c r="A692" s="157"/>
      <c r="B692" s="157"/>
      <c r="C692" s="157"/>
      <c r="D692" s="157"/>
      <c r="E692" s="157"/>
      <c r="F692" s="157"/>
      <c r="G692" s="159"/>
      <c r="H692" s="157"/>
      <c r="I692" s="157"/>
    </row>
    <row r="693" spans="1:9" ht="16" x14ac:dyDescent="0.2">
      <c r="A693" s="157"/>
      <c r="B693" s="157"/>
      <c r="C693" s="157"/>
      <c r="D693" s="157"/>
      <c r="E693" s="157"/>
      <c r="F693" s="157"/>
      <c r="G693" s="159"/>
      <c r="H693" s="157"/>
      <c r="I693" s="157"/>
    </row>
    <row r="694" spans="1:9" ht="16" x14ac:dyDescent="0.2">
      <c r="A694" s="157"/>
      <c r="B694" s="157"/>
      <c r="C694" s="157"/>
      <c r="D694" s="157"/>
      <c r="E694" s="157"/>
      <c r="F694" s="157"/>
      <c r="G694" s="159"/>
      <c r="H694" s="157"/>
      <c r="I694" s="157"/>
    </row>
    <row r="695" spans="1:9" ht="16" x14ac:dyDescent="0.2">
      <c r="A695" s="157"/>
      <c r="B695" s="157"/>
      <c r="C695" s="157"/>
      <c r="D695" s="157"/>
      <c r="E695" s="157"/>
      <c r="F695" s="157"/>
      <c r="G695" s="159"/>
      <c r="H695" s="157"/>
      <c r="I695" s="157"/>
    </row>
    <row r="696" spans="1:9" ht="16" x14ac:dyDescent="0.2">
      <c r="A696" s="157"/>
      <c r="B696" s="157"/>
      <c r="C696" s="157"/>
      <c r="D696" s="157"/>
      <c r="E696" s="157"/>
      <c r="F696" s="157"/>
      <c r="G696" s="159"/>
      <c r="H696" s="157"/>
      <c r="I696" s="157"/>
    </row>
    <row r="697" spans="1:9" ht="16" x14ac:dyDescent="0.2">
      <c r="A697" s="157"/>
      <c r="B697" s="157"/>
      <c r="C697" s="157"/>
      <c r="D697" s="157"/>
      <c r="E697" s="157"/>
      <c r="F697" s="157"/>
      <c r="G697" s="159"/>
      <c r="H697" s="157"/>
      <c r="I697" s="157"/>
    </row>
    <row r="698" spans="1:9" ht="16" x14ac:dyDescent="0.2">
      <c r="A698" s="157"/>
      <c r="B698" s="157"/>
      <c r="C698" s="157"/>
      <c r="D698" s="157"/>
      <c r="E698" s="157"/>
      <c r="F698" s="157"/>
      <c r="G698" s="159"/>
      <c r="H698" s="157"/>
      <c r="I698" s="157"/>
    </row>
    <row r="699" spans="1:9" ht="16" x14ac:dyDescent="0.2">
      <c r="A699" s="157"/>
      <c r="B699" s="157"/>
      <c r="C699" s="157"/>
      <c r="D699" s="157"/>
      <c r="E699" s="157"/>
      <c r="F699" s="157"/>
      <c r="G699" s="159"/>
      <c r="H699" s="157"/>
      <c r="I699" s="157"/>
    </row>
    <row r="700" spans="1:9" ht="16" x14ac:dyDescent="0.2">
      <c r="A700" s="157"/>
      <c r="B700" s="157"/>
      <c r="C700" s="157"/>
      <c r="D700" s="157"/>
      <c r="E700" s="157"/>
      <c r="F700" s="157"/>
      <c r="G700" s="159"/>
      <c r="H700" s="157"/>
      <c r="I700" s="157"/>
    </row>
    <row r="701" spans="1:9" ht="16" x14ac:dyDescent="0.2">
      <c r="A701" s="157"/>
      <c r="B701" s="157"/>
      <c r="C701" s="157"/>
      <c r="D701" s="157"/>
      <c r="E701" s="157"/>
      <c r="F701" s="157"/>
      <c r="G701" s="159"/>
      <c r="H701" s="157"/>
      <c r="I701" s="157"/>
    </row>
    <row r="702" spans="1:9" ht="16" x14ac:dyDescent="0.2">
      <c r="A702" s="157"/>
      <c r="B702" s="157"/>
      <c r="C702" s="157"/>
      <c r="D702" s="157"/>
      <c r="E702" s="157"/>
      <c r="F702" s="157"/>
      <c r="G702" s="159"/>
      <c r="H702" s="157"/>
      <c r="I702" s="157"/>
    </row>
    <row r="703" spans="1:9" ht="16" x14ac:dyDescent="0.2">
      <c r="A703" s="157"/>
      <c r="B703" s="157"/>
      <c r="C703" s="157"/>
      <c r="D703" s="157"/>
      <c r="E703" s="157"/>
      <c r="F703" s="157"/>
      <c r="G703" s="159"/>
      <c r="H703" s="157"/>
      <c r="I703" s="157"/>
    </row>
    <row r="704" spans="1:9" ht="16" x14ac:dyDescent="0.2">
      <c r="A704" s="157"/>
      <c r="B704" s="157"/>
      <c r="C704" s="157"/>
      <c r="D704" s="157"/>
      <c r="E704" s="157"/>
      <c r="F704" s="157"/>
      <c r="G704" s="159"/>
      <c r="H704" s="157"/>
      <c r="I704" s="157"/>
    </row>
    <row r="705" spans="1:9" ht="16" x14ac:dyDescent="0.2">
      <c r="A705" s="157"/>
      <c r="B705" s="157"/>
      <c r="C705" s="157"/>
      <c r="D705" s="157"/>
      <c r="E705" s="157"/>
      <c r="F705" s="157"/>
      <c r="G705" s="159"/>
      <c r="H705" s="157"/>
      <c r="I705" s="157"/>
    </row>
    <row r="706" spans="1:9" ht="16" x14ac:dyDescent="0.2">
      <c r="A706" s="157"/>
      <c r="B706" s="157"/>
      <c r="C706" s="157"/>
      <c r="D706" s="157"/>
      <c r="E706" s="157"/>
      <c r="F706" s="157"/>
      <c r="G706" s="159"/>
      <c r="H706" s="159"/>
      <c r="I706" s="159"/>
    </row>
    <row r="707" spans="1:9" ht="16" x14ac:dyDescent="0.2">
      <c r="A707" s="157"/>
      <c r="B707" s="157"/>
      <c r="C707" s="157"/>
      <c r="D707" s="157"/>
      <c r="E707" s="157"/>
      <c r="F707" s="157"/>
      <c r="G707" s="159"/>
      <c r="H707" s="157"/>
      <c r="I707" s="157"/>
    </row>
    <row r="708" spans="1:9" ht="16" x14ac:dyDescent="0.2">
      <c r="A708" s="157"/>
      <c r="B708" s="157"/>
      <c r="C708" s="157"/>
      <c r="D708" s="157"/>
      <c r="E708" s="157"/>
      <c r="F708" s="157"/>
      <c r="G708" s="159"/>
      <c r="H708" s="157"/>
      <c r="I708" s="157"/>
    </row>
    <row r="709" spans="1:9" ht="16" x14ac:dyDescent="0.2">
      <c r="A709" s="157"/>
      <c r="B709" s="157"/>
      <c r="C709" s="157"/>
      <c r="D709" s="157"/>
      <c r="E709" s="157"/>
      <c r="F709" s="157"/>
      <c r="G709" s="159"/>
      <c r="H709" s="157"/>
      <c r="I709" s="157"/>
    </row>
    <row r="710" spans="1:9" ht="16" x14ac:dyDescent="0.2">
      <c r="A710" s="157"/>
      <c r="B710" s="157"/>
      <c r="C710" s="157"/>
      <c r="D710" s="157"/>
      <c r="E710" s="157"/>
      <c r="F710" s="157"/>
      <c r="G710" s="159"/>
      <c r="H710" s="157"/>
      <c r="I710" s="157"/>
    </row>
    <row r="711" spans="1:9" ht="16" x14ac:dyDescent="0.2">
      <c r="A711" s="157"/>
      <c r="B711" s="157"/>
      <c r="C711" s="157"/>
      <c r="D711" s="157"/>
      <c r="E711" s="157"/>
      <c r="F711" s="157"/>
      <c r="G711" s="159"/>
      <c r="H711" s="157"/>
      <c r="I711" s="157"/>
    </row>
    <row r="712" spans="1:9" ht="16" x14ac:dyDescent="0.2">
      <c r="A712" s="157"/>
      <c r="B712" s="157"/>
      <c r="C712" s="157"/>
      <c r="D712" s="157"/>
      <c r="E712" s="157"/>
      <c r="F712" s="157"/>
      <c r="G712" s="159"/>
      <c r="H712" s="157"/>
      <c r="I712" s="157"/>
    </row>
    <row r="713" spans="1:9" ht="16" x14ac:dyDescent="0.2">
      <c r="A713" s="157"/>
      <c r="B713" s="157"/>
      <c r="C713" s="157"/>
      <c r="D713" s="157"/>
      <c r="E713" s="157"/>
      <c r="F713" s="157"/>
      <c r="G713" s="159"/>
      <c r="H713" s="157"/>
      <c r="I713" s="157"/>
    </row>
    <row r="714" spans="1:9" ht="16" x14ac:dyDescent="0.2">
      <c r="A714" s="157"/>
      <c r="B714" s="157"/>
      <c r="C714" s="157"/>
      <c r="D714" s="157"/>
      <c r="E714" s="157"/>
      <c r="F714" s="157"/>
      <c r="G714" s="159"/>
      <c r="H714" s="157"/>
      <c r="I714" s="157"/>
    </row>
    <row r="715" spans="1:9" ht="16" x14ac:dyDescent="0.2">
      <c r="A715" s="157"/>
      <c r="B715" s="157"/>
      <c r="C715" s="157"/>
      <c r="D715" s="157"/>
      <c r="E715" s="157"/>
      <c r="F715" s="157"/>
      <c r="G715" s="159"/>
      <c r="H715" s="157"/>
      <c r="I715" s="157"/>
    </row>
    <row r="716" spans="1:9" ht="16" x14ac:dyDescent="0.2">
      <c r="A716" s="157"/>
      <c r="B716" s="157"/>
      <c r="C716" s="157"/>
      <c r="D716" s="157"/>
      <c r="E716" s="157"/>
      <c r="F716" s="157"/>
      <c r="G716" s="159"/>
      <c r="H716" s="157"/>
      <c r="I716" s="157"/>
    </row>
    <row r="717" spans="1:9" ht="16" x14ac:dyDescent="0.2">
      <c r="A717" s="157"/>
      <c r="B717" s="157"/>
      <c r="C717" s="157"/>
      <c r="D717" s="157"/>
      <c r="E717" s="157"/>
      <c r="F717" s="157"/>
      <c r="G717" s="159"/>
      <c r="H717" s="157"/>
      <c r="I717" s="157"/>
    </row>
    <row r="718" spans="1:9" ht="16" x14ac:dyDescent="0.2">
      <c r="A718" s="157"/>
      <c r="B718" s="157"/>
      <c r="C718" s="157"/>
      <c r="D718" s="157"/>
      <c r="E718" s="157"/>
      <c r="F718" s="157"/>
      <c r="G718" s="159"/>
      <c r="H718" s="157"/>
      <c r="I718" s="157"/>
    </row>
    <row r="719" spans="1:9" ht="16" x14ac:dyDescent="0.2">
      <c r="A719" s="157"/>
      <c r="B719" s="157"/>
      <c r="C719" s="157"/>
      <c r="D719" s="157"/>
      <c r="E719" s="157"/>
      <c r="F719" s="157"/>
      <c r="G719" s="159"/>
      <c r="H719" s="157"/>
      <c r="I719" s="157"/>
    </row>
    <row r="720" spans="1:9" ht="16" x14ac:dyDescent="0.2">
      <c r="A720" s="157"/>
      <c r="B720" s="157"/>
      <c r="C720" s="157"/>
      <c r="D720" s="157"/>
      <c r="E720" s="157"/>
      <c r="F720" s="157"/>
      <c r="G720" s="159"/>
      <c r="H720" s="157"/>
      <c r="I720" s="157"/>
    </row>
    <row r="721" spans="1:9" ht="16" x14ac:dyDescent="0.2">
      <c r="A721" s="157"/>
      <c r="B721" s="157"/>
      <c r="C721" s="157"/>
      <c r="D721" s="157"/>
      <c r="E721" s="157"/>
      <c r="F721" s="157"/>
      <c r="G721" s="159"/>
      <c r="H721" s="157"/>
      <c r="I721" s="157"/>
    </row>
    <row r="722" spans="1:9" ht="16" x14ac:dyDescent="0.2">
      <c r="A722" s="157"/>
      <c r="B722" s="157"/>
      <c r="C722" s="157"/>
      <c r="D722" s="157"/>
      <c r="E722" s="157"/>
      <c r="F722" s="157"/>
      <c r="G722" s="159"/>
      <c r="H722" s="157"/>
      <c r="I722" s="157"/>
    </row>
    <row r="723" spans="1:9" ht="16" x14ac:dyDescent="0.2">
      <c r="A723" s="157"/>
      <c r="B723" s="157"/>
      <c r="C723" s="157"/>
      <c r="D723" s="157"/>
      <c r="E723" s="157"/>
      <c r="F723" s="157"/>
      <c r="G723" s="159"/>
      <c r="H723" s="157"/>
      <c r="I723" s="157"/>
    </row>
    <row r="724" spans="1:9" ht="16" x14ac:dyDescent="0.2">
      <c r="A724" s="157"/>
      <c r="B724" s="157"/>
      <c r="C724" s="157"/>
      <c r="D724" s="157"/>
      <c r="E724" s="157"/>
      <c r="F724" s="157"/>
      <c r="G724" s="159"/>
      <c r="H724" s="157"/>
      <c r="I724" s="157"/>
    </row>
    <row r="725" spans="1:9" ht="16" x14ac:dyDescent="0.2">
      <c r="A725" s="157"/>
      <c r="B725" s="157"/>
      <c r="C725" s="157"/>
      <c r="D725" s="157"/>
      <c r="E725" s="157"/>
      <c r="F725" s="157"/>
      <c r="G725" s="159"/>
      <c r="H725" s="157"/>
      <c r="I725" s="157"/>
    </row>
    <row r="726" spans="1:9" ht="16" x14ac:dyDescent="0.2">
      <c r="A726" s="157"/>
      <c r="B726" s="157"/>
      <c r="C726" s="157"/>
      <c r="D726" s="157"/>
      <c r="E726" s="157"/>
      <c r="F726" s="157"/>
      <c r="G726" s="159"/>
      <c r="H726" s="157"/>
      <c r="I726" s="157"/>
    </row>
    <row r="727" spans="1:9" ht="16" x14ac:dyDescent="0.2">
      <c r="A727" s="157"/>
      <c r="B727" s="157"/>
      <c r="C727" s="157"/>
      <c r="D727" s="157"/>
      <c r="E727" s="157"/>
      <c r="F727" s="157"/>
      <c r="G727" s="159"/>
      <c r="H727" s="157"/>
      <c r="I727" s="157"/>
    </row>
    <row r="728" spans="1:9" ht="16" x14ac:dyDescent="0.2">
      <c r="A728" s="157"/>
      <c r="B728" s="157"/>
      <c r="C728" s="157"/>
      <c r="D728" s="157"/>
      <c r="E728" s="157"/>
      <c r="F728" s="157"/>
      <c r="G728" s="159"/>
      <c r="H728" s="157"/>
      <c r="I728" s="157"/>
    </row>
    <row r="729" spans="1:9" ht="16" x14ac:dyDescent="0.2">
      <c r="A729" s="157"/>
      <c r="B729" s="157"/>
      <c r="C729" s="157"/>
      <c r="D729" s="157"/>
      <c r="E729" s="157"/>
      <c r="F729" s="157"/>
      <c r="G729" s="159"/>
      <c r="H729" s="157"/>
      <c r="I729" s="157"/>
    </row>
    <row r="730" spans="1:9" ht="16" x14ac:dyDescent="0.2">
      <c r="A730" s="157"/>
      <c r="B730" s="157"/>
      <c r="C730" s="157"/>
      <c r="D730" s="157"/>
      <c r="E730" s="157"/>
      <c r="F730" s="157"/>
      <c r="G730" s="159"/>
      <c r="H730" s="157"/>
      <c r="I730" s="157"/>
    </row>
    <row r="731" spans="1:9" ht="16" x14ac:dyDescent="0.2">
      <c r="A731" s="157"/>
      <c r="B731" s="157"/>
      <c r="C731" s="157"/>
      <c r="D731" s="157"/>
      <c r="E731" s="157"/>
      <c r="F731" s="157"/>
      <c r="G731" s="159"/>
      <c r="H731" s="157"/>
      <c r="I731" s="157"/>
    </row>
    <row r="732" spans="1:9" ht="16" x14ac:dyDescent="0.2">
      <c r="A732" s="157"/>
      <c r="B732" s="157"/>
      <c r="C732" s="157"/>
      <c r="D732" s="157"/>
      <c r="E732" s="157"/>
      <c r="F732" s="157"/>
      <c r="G732" s="159"/>
      <c r="H732" s="157"/>
      <c r="I732" s="157"/>
    </row>
    <row r="733" spans="1:9" ht="16" x14ac:dyDescent="0.2">
      <c r="A733" s="157"/>
      <c r="B733" s="157"/>
      <c r="C733" s="157"/>
      <c r="D733" s="157"/>
      <c r="E733" s="157"/>
      <c r="F733" s="157"/>
      <c r="G733" s="159"/>
      <c r="H733" s="157"/>
      <c r="I733" s="157"/>
    </row>
    <row r="734" spans="1:9" ht="16" x14ac:dyDescent="0.2">
      <c r="A734" s="157"/>
      <c r="B734" s="157"/>
      <c r="C734" s="157"/>
      <c r="D734" s="157"/>
      <c r="E734" s="157"/>
      <c r="F734" s="157"/>
      <c r="G734" s="159"/>
      <c r="H734" s="157"/>
      <c r="I734" s="157"/>
    </row>
    <row r="735" spans="1:9" ht="16" x14ac:dyDescent="0.2">
      <c r="A735" s="157"/>
      <c r="B735" s="157"/>
      <c r="C735" s="157"/>
      <c r="D735" s="157"/>
      <c r="E735" s="157"/>
      <c r="F735" s="157"/>
      <c r="G735" s="159"/>
      <c r="H735" s="157"/>
      <c r="I735" s="157"/>
    </row>
    <row r="736" spans="1:9" ht="16" x14ac:dyDescent="0.2">
      <c r="A736" s="157"/>
      <c r="B736" s="157"/>
      <c r="C736" s="157"/>
      <c r="D736" s="157"/>
      <c r="E736" s="157"/>
      <c r="F736" s="157"/>
      <c r="G736" s="159"/>
      <c r="H736" s="157"/>
      <c r="I736" s="157"/>
    </row>
    <row r="737" spans="1:9" ht="16" x14ac:dyDescent="0.2">
      <c r="A737" s="157"/>
      <c r="B737" s="157"/>
      <c r="C737" s="157"/>
      <c r="D737" s="157"/>
      <c r="E737" s="157"/>
      <c r="F737" s="157"/>
      <c r="G737" s="159"/>
      <c r="H737" s="157"/>
      <c r="I737" s="157"/>
    </row>
    <row r="738" spans="1:9" ht="16" x14ac:dyDescent="0.2">
      <c r="A738" s="157"/>
      <c r="B738" s="157"/>
      <c r="C738" s="157"/>
      <c r="D738" s="157"/>
      <c r="E738" s="157"/>
      <c r="F738" s="157"/>
      <c r="G738" s="159"/>
      <c r="H738" s="157"/>
      <c r="I738" s="157"/>
    </row>
    <row r="739" spans="1:9" ht="16" x14ac:dyDescent="0.2">
      <c r="A739" s="157"/>
      <c r="B739" s="157"/>
      <c r="C739" s="157"/>
      <c r="D739" s="157"/>
      <c r="E739" s="157"/>
      <c r="F739" s="157"/>
      <c r="G739" s="159"/>
      <c r="H739" s="157"/>
      <c r="I739" s="157"/>
    </row>
    <row r="740" spans="1:9" ht="16" x14ac:dyDescent="0.2">
      <c r="A740" s="157"/>
      <c r="B740" s="157"/>
      <c r="C740" s="157"/>
      <c r="D740" s="157"/>
      <c r="E740" s="157"/>
      <c r="F740" s="157"/>
      <c r="G740" s="159"/>
      <c r="H740" s="157"/>
      <c r="I740" s="157"/>
    </row>
    <row r="741" spans="1:9" ht="16" x14ac:dyDescent="0.2">
      <c r="A741" s="157"/>
      <c r="B741" s="157"/>
      <c r="C741" s="157"/>
      <c r="D741" s="157"/>
      <c r="E741" s="157"/>
      <c r="F741" s="157"/>
      <c r="G741" s="159"/>
      <c r="H741" s="157"/>
      <c r="I741" s="157"/>
    </row>
    <row r="742" spans="1:9" ht="16" x14ac:dyDescent="0.2">
      <c r="A742" s="157"/>
      <c r="B742" s="157"/>
      <c r="C742" s="157"/>
      <c r="D742" s="157"/>
      <c r="E742" s="157"/>
      <c r="F742" s="157"/>
      <c r="G742" s="159"/>
      <c r="H742" s="157"/>
      <c r="I742" s="157"/>
    </row>
    <row r="743" spans="1:9" ht="16" x14ac:dyDescent="0.2">
      <c r="A743" s="157"/>
      <c r="B743" s="157"/>
      <c r="C743" s="157"/>
      <c r="D743" s="157"/>
      <c r="E743" s="157"/>
      <c r="F743" s="157"/>
      <c r="G743" s="159"/>
      <c r="H743" s="157"/>
      <c r="I743" s="157"/>
    </row>
    <row r="744" spans="1:9" ht="16" x14ac:dyDescent="0.2">
      <c r="A744" s="157"/>
      <c r="B744" s="157"/>
      <c r="C744" s="157"/>
      <c r="D744" s="157"/>
      <c r="E744" s="157"/>
      <c r="F744" s="157"/>
      <c r="G744" s="159"/>
      <c r="H744" s="157"/>
      <c r="I744" s="157"/>
    </row>
    <row r="745" spans="1:9" ht="16" x14ac:dyDescent="0.2">
      <c r="A745" s="157"/>
      <c r="B745" s="157"/>
      <c r="C745" s="157"/>
      <c r="D745" s="157"/>
      <c r="E745" s="157"/>
      <c r="F745" s="157"/>
      <c r="G745" s="159"/>
      <c r="H745" s="157"/>
      <c r="I745" s="157"/>
    </row>
    <row r="746" spans="1:9" x14ac:dyDescent="0.15">
      <c r="A746" s="158"/>
      <c r="B746" s="158"/>
      <c r="C746" s="158"/>
      <c r="D746" s="158"/>
      <c r="E746" s="158"/>
      <c r="F746" s="158"/>
      <c r="G746" s="158"/>
      <c r="H746" s="158"/>
      <c r="I746" s="158"/>
    </row>
    <row r="747" spans="1:9" x14ac:dyDescent="0.15">
      <c r="A747" s="158"/>
      <c r="B747" s="158"/>
      <c r="C747" s="158"/>
      <c r="D747" s="158"/>
      <c r="E747" s="158"/>
      <c r="F747" s="158"/>
      <c r="G747" s="158"/>
      <c r="H747" s="158"/>
      <c r="I747" s="158"/>
    </row>
    <row r="748" spans="1:9" x14ac:dyDescent="0.15">
      <c r="A748" s="158"/>
      <c r="B748" s="158"/>
      <c r="C748" s="158"/>
      <c r="D748" s="158"/>
      <c r="E748" s="158"/>
      <c r="F748" s="158"/>
      <c r="G748" s="158"/>
      <c r="H748" s="158"/>
      <c r="I748" s="158"/>
    </row>
    <row r="749" spans="1:9" x14ac:dyDescent="0.15">
      <c r="A749" s="158"/>
      <c r="B749" s="158"/>
      <c r="C749" s="158"/>
      <c r="D749" s="158"/>
      <c r="E749" s="158"/>
      <c r="F749" s="158"/>
      <c r="G749" s="158"/>
      <c r="H749" s="158"/>
      <c r="I749" s="158"/>
    </row>
    <row r="750" spans="1:9" x14ac:dyDescent="0.15">
      <c r="A750" s="158"/>
      <c r="B750" s="158"/>
      <c r="C750" s="158"/>
      <c r="D750" s="158"/>
      <c r="E750" s="158"/>
      <c r="F750" s="158"/>
      <c r="G750" s="158"/>
      <c r="H750" s="158"/>
      <c r="I750" s="158"/>
    </row>
    <row r="751" spans="1:9" x14ac:dyDescent="0.15">
      <c r="A751" s="158"/>
      <c r="B751" s="158"/>
      <c r="C751" s="158"/>
      <c r="D751" s="158"/>
      <c r="E751" s="158"/>
      <c r="F751" s="158"/>
      <c r="G751" s="158"/>
      <c r="H751" s="158"/>
      <c r="I751" s="158"/>
    </row>
    <row r="752" spans="1:9" x14ac:dyDescent="0.15">
      <c r="A752" s="158"/>
      <c r="B752" s="158"/>
      <c r="C752" s="158"/>
      <c r="D752" s="158"/>
      <c r="E752" s="158"/>
      <c r="F752" s="158"/>
      <c r="G752" s="158"/>
      <c r="H752" s="158"/>
      <c r="I752" s="158"/>
    </row>
    <row r="753" spans="1:9" x14ac:dyDescent="0.15">
      <c r="A753" s="158"/>
      <c r="B753" s="158"/>
      <c r="C753" s="158"/>
      <c r="D753" s="158"/>
      <c r="E753" s="158"/>
      <c r="F753" s="158"/>
      <c r="G753" s="158"/>
      <c r="H753" s="158"/>
      <c r="I753" s="158"/>
    </row>
    <row r="754" spans="1:9" x14ac:dyDescent="0.15">
      <c r="A754" s="158"/>
      <c r="B754" s="158"/>
      <c r="C754" s="158"/>
      <c r="D754" s="158"/>
      <c r="E754" s="158"/>
      <c r="F754" s="158"/>
      <c r="G754" s="158"/>
      <c r="H754" s="158"/>
      <c r="I754" s="158"/>
    </row>
    <row r="755" spans="1:9" x14ac:dyDescent="0.15">
      <c r="A755" s="158"/>
      <c r="B755" s="158"/>
      <c r="C755" s="158"/>
      <c r="D755" s="158"/>
      <c r="E755" s="158"/>
      <c r="F755" s="158"/>
      <c r="G755" s="158"/>
      <c r="H755" s="158"/>
      <c r="I755" s="158"/>
    </row>
    <row r="756" spans="1:9" x14ac:dyDescent="0.15">
      <c r="A756" s="158"/>
      <c r="B756" s="158"/>
      <c r="C756" s="158"/>
      <c r="D756" s="158"/>
      <c r="E756" s="158"/>
      <c r="F756" s="158"/>
      <c r="G756" s="158"/>
      <c r="H756" s="158"/>
      <c r="I756" s="158"/>
    </row>
    <row r="757" spans="1:9" x14ac:dyDescent="0.15">
      <c r="A757" s="158"/>
      <c r="B757" s="158"/>
      <c r="C757" s="158"/>
      <c r="D757" s="158"/>
      <c r="E757" s="158"/>
      <c r="F757" s="158"/>
      <c r="G757" s="158"/>
      <c r="H757" s="158"/>
      <c r="I757" s="158"/>
    </row>
    <row r="758" spans="1:9" x14ac:dyDescent="0.15">
      <c r="A758" s="158"/>
      <c r="B758" s="158"/>
      <c r="C758" s="158"/>
      <c r="D758" s="158"/>
      <c r="E758" s="158"/>
      <c r="F758" s="158"/>
      <c r="G758" s="158"/>
      <c r="H758" s="158"/>
      <c r="I758" s="158"/>
    </row>
    <row r="759" spans="1:9" x14ac:dyDescent="0.15">
      <c r="A759" s="158"/>
      <c r="B759" s="158"/>
      <c r="C759" s="158"/>
      <c r="D759" s="158"/>
      <c r="E759" s="158"/>
      <c r="F759" s="158"/>
      <c r="G759" s="158"/>
      <c r="H759" s="158"/>
      <c r="I759" s="158"/>
    </row>
    <row r="760" spans="1:9" x14ac:dyDescent="0.15">
      <c r="A760" s="158"/>
      <c r="B760" s="158"/>
      <c r="C760" s="158"/>
      <c r="D760" s="158"/>
      <c r="E760" s="158"/>
      <c r="F760" s="158"/>
      <c r="G760" s="158"/>
      <c r="H760" s="158"/>
      <c r="I760" s="158"/>
    </row>
    <row r="761" spans="1:9" x14ac:dyDescent="0.15">
      <c r="A761" s="158"/>
      <c r="B761" s="158"/>
      <c r="C761" s="158"/>
      <c r="D761" s="158"/>
      <c r="E761" s="158"/>
      <c r="F761" s="158"/>
      <c r="G761" s="158"/>
      <c r="H761" s="158"/>
      <c r="I761" s="158"/>
    </row>
    <row r="762" spans="1:9" x14ac:dyDescent="0.15">
      <c r="A762" s="158"/>
      <c r="B762" s="158"/>
      <c r="C762" s="158"/>
      <c r="D762" s="158"/>
      <c r="E762" s="158"/>
      <c r="F762" s="158"/>
      <c r="G762" s="158"/>
      <c r="H762" s="158"/>
      <c r="I762" s="158"/>
    </row>
    <row r="763" spans="1:9" x14ac:dyDescent="0.15">
      <c r="A763" s="158"/>
      <c r="B763" s="158"/>
      <c r="C763" s="158"/>
      <c r="D763" s="158"/>
      <c r="E763" s="158"/>
      <c r="F763" s="158"/>
      <c r="G763" s="158"/>
      <c r="H763" s="158"/>
      <c r="I763" s="158"/>
    </row>
  </sheetData>
  <autoFilter ref="A5:I745" xr:uid="{00000000-0001-0000-0000-000000000000}">
    <sortState xmlns:xlrd2="http://schemas.microsoft.com/office/spreadsheetml/2017/richdata2" ref="A6:I630">
      <sortCondition ref="B5:B630"/>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README</vt:lpstr>
      <vt:lpstr>Tables12</vt:lpstr>
      <vt:lpstr>Brands</vt:lpstr>
      <vt:lpstr>Pharmacy</vt:lpstr>
      <vt:lpstr>BenefitParams</vt:lpstr>
      <vt:lpstr>BackgroundInfo1</vt:lpstr>
      <vt:lpstr>BackgroundInfo2</vt:lpstr>
      <vt:lpstr>QuantitativeProse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Casey Mulligan</dc:creator>
  <cp:lastModifiedBy>Casey Mulligan</cp:lastModifiedBy>
  <dcterms:created xsi:type="dcterms:W3CDTF">2022-12-27T21:14:11Z</dcterms:created>
  <dcterms:modified xsi:type="dcterms:W3CDTF">2023-09-04T01:42:12Z</dcterms:modified>
</cp:coreProperties>
</file>