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6"/>
  <workbookPr/>
  <mc:AlternateContent xmlns:mc="http://schemas.openxmlformats.org/markup-compatibility/2006">
    <mc:Choice Requires="x15">
      <x15ac:absPath xmlns:x15ac="http://schemas.microsoft.com/office/spreadsheetml/2010/11/ac" url="/Users/caseymulligan/Dropbox/Regulation/PCMA/PBMregulationmodeling/"/>
    </mc:Choice>
  </mc:AlternateContent>
  <xr:revisionPtr revIDLastSave="0" documentId="13_ncr:1_{3D7C580D-5FA2-5A4D-845E-2AC18CD636B6}" xr6:coauthVersionLast="47" xr6:coauthVersionMax="47" xr10:uidLastSave="{00000000-0000-0000-0000-000000000000}"/>
  <bookViews>
    <workbookView xWindow="3660" yWindow="1860" windowWidth="28140" windowHeight="17500" xr2:uid="{8BD38063-B49A-5B4B-AEBE-4497F15CD33B}"/>
  </bookViews>
  <sheets>
    <sheet name="README" sheetId="6" r:id="rId1"/>
    <sheet name="Tables12" sheetId="9" r:id="rId2"/>
    <sheet name="Tables34" sheetId="7" r:id="rId3"/>
    <sheet name="Table5" sheetId="10" r:id="rId4"/>
    <sheet name="PartD" sheetId="1" r:id="rId5"/>
    <sheet name="InsulinAct" sheetId="8" r:id="rId6"/>
    <sheet name="Pharmacy" sheetId="4" r:id="rId7"/>
    <sheet name="BenefitParams" sheetId="3" r:id="rId8"/>
    <sheet name="BackgroundInfo1" sheetId="2" r:id="rId9"/>
    <sheet name="BackgroundInfo2" sheetId="5" r:id="rId10"/>
    <sheet name="QuantitativeProse" sheetId="11" r:id="rId11"/>
  </sheets>
  <definedNames>
    <definedName name="_xlnm._FilterDatabase" localSheetId="10" hidden="1">QuantitativeProse!$A$4:$J$753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50" i="11" l="1"/>
  <c r="F732" i="11"/>
  <c r="F726" i="11"/>
  <c r="F722" i="11"/>
  <c r="F716" i="11"/>
  <c r="F715" i="11"/>
  <c r="F714" i="11"/>
  <c r="F711" i="11"/>
  <c r="F713" i="11"/>
  <c r="F712" i="11"/>
  <c r="F709" i="11"/>
  <c r="F680" i="11"/>
  <c r="F679" i="11"/>
  <c r="F678" i="11"/>
  <c r="F676" i="11"/>
  <c r="F673" i="11"/>
  <c r="F639" i="11"/>
  <c r="F637" i="11"/>
  <c r="F636" i="11"/>
  <c r="F631" i="11"/>
  <c r="F630" i="11"/>
  <c r="F629" i="11"/>
  <c r="F614" i="11"/>
  <c r="F613" i="11"/>
  <c r="F612" i="11"/>
  <c r="F609" i="11"/>
  <c r="F608" i="11"/>
  <c r="F604" i="11"/>
  <c r="F606" i="11" s="1"/>
  <c r="F555" i="11"/>
  <c r="F615" i="11" s="1"/>
  <c r="F544" i="11"/>
  <c r="F542" i="11"/>
  <c r="F539" i="11"/>
  <c r="F537" i="11"/>
  <c r="F532" i="11"/>
  <c r="F535" i="11"/>
  <c r="F517" i="11"/>
  <c r="F516" i="11"/>
  <c r="F728" i="11"/>
  <c r="F496" i="11" s="1"/>
  <c r="F509" i="11"/>
  <c r="F495" i="11"/>
  <c r="F485" i="11"/>
  <c r="F492" i="11" s="1"/>
  <c r="F483" i="11"/>
  <c r="F632" i="11" l="1"/>
  <c r="I532" i="11"/>
  <c r="I539" i="11"/>
  <c r="F458" i="11"/>
  <c r="F454" i="11"/>
  <c r="F453" i="11"/>
  <c r="F452" i="11"/>
  <c r="F440" i="11"/>
  <c r="F439" i="11"/>
  <c r="F434" i="11"/>
  <c r="F433" i="11"/>
  <c r="F431" i="11"/>
  <c r="F430" i="11"/>
  <c r="F51" i="8"/>
  <c r="E51" i="8"/>
  <c r="D51" i="8"/>
  <c r="F478" i="11"/>
  <c r="I441" i="11" l="1"/>
  <c r="F441" i="11"/>
  <c r="F468" i="11"/>
  <c r="F467" i="11"/>
  <c r="F466" i="11"/>
  <c r="F465" i="11"/>
  <c r="F411" i="11"/>
  <c r="F410" i="11"/>
  <c r="F409" i="11"/>
  <c r="F406" i="11"/>
  <c r="F404" i="11"/>
  <c r="F403" i="11"/>
  <c r="F401" i="11"/>
  <c r="F400" i="11"/>
  <c r="F399" i="11"/>
  <c r="F398" i="11"/>
  <c r="F396" i="11"/>
  <c r="F395" i="11"/>
  <c r="F394" i="11"/>
  <c r="F387" i="11"/>
  <c r="F385" i="11"/>
  <c r="F382" i="11"/>
  <c r="F368" i="11" l="1"/>
  <c r="F367" i="11"/>
  <c r="F362" i="11"/>
  <c r="F359" i="11"/>
  <c r="F357" i="11"/>
  <c r="F354" i="11"/>
  <c r="F353" i="11"/>
  <c r="F297" i="11"/>
  <c r="F293" i="11" l="1"/>
  <c r="F292" i="11"/>
  <c r="F290" i="11"/>
  <c r="F289" i="11"/>
  <c r="F288" i="11"/>
  <c r="F287" i="11"/>
  <c r="F286" i="11"/>
  <c r="F285" i="11"/>
  <c r="F275" i="11"/>
  <c r="F274" i="11"/>
  <c r="F258" i="11"/>
  <c r="I265" i="11"/>
  <c r="I277" i="11" s="1"/>
  <c r="F261" i="11"/>
  <c r="F259" i="11"/>
  <c r="F254" i="11"/>
  <c r="I223" i="11"/>
  <c r="F226" i="11"/>
  <c r="F225" i="11"/>
  <c r="I220" i="11"/>
  <c r="F220" i="11"/>
  <c r="F221" i="11" s="1"/>
  <c r="F223" i="11"/>
  <c r="F224" i="11" s="1"/>
  <c r="F218" i="11"/>
  <c r="F219" i="11" s="1"/>
  <c r="F222" i="11" s="1"/>
  <c r="F217" i="11"/>
  <c r="F216" i="11"/>
  <c r="F215" i="11"/>
  <c r="F214" i="11"/>
  <c r="F213" i="11"/>
  <c r="F196" i="11"/>
  <c r="F191" i="11"/>
  <c r="F192" i="11" s="1"/>
  <c r="F189" i="11"/>
  <c r="F186" i="11"/>
  <c r="F184" i="11"/>
  <c r="F185" i="11" s="1"/>
  <c r="F163" i="11"/>
  <c r="F161" i="11"/>
  <c r="F166" i="11" s="1"/>
  <c r="F159" i="11"/>
  <c r="F165" i="11" s="1"/>
  <c r="F154" i="11"/>
  <c r="F153" i="11"/>
  <c r="F157" i="11" l="1"/>
  <c r="F156" i="11"/>
  <c r="F135" i="11" l="1"/>
  <c r="F638" i="11" s="1"/>
  <c r="F130" i="11"/>
  <c r="F103" i="11"/>
  <c r="F86" i="11"/>
  <c r="F70" i="11"/>
  <c r="F59" i="11"/>
  <c r="F58" i="11"/>
  <c r="F44" i="11"/>
  <c r="F46" i="11" s="1"/>
  <c r="F41" i="11"/>
  <c r="F34" i="11"/>
  <c r="F33" i="11"/>
  <c r="F32" i="11"/>
  <c r="F27" i="11"/>
  <c r="F17" i="7"/>
  <c r="M44" i="8"/>
  <c r="M33" i="1"/>
  <c r="M24" i="8" a="1"/>
  <c r="M24" i="8" s="1"/>
  <c r="B51" i="2"/>
  <c r="D9" i="10" s="1"/>
  <c r="B48" i="2"/>
  <c r="F137" i="11" l="1"/>
  <c r="F546" i="11"/>
  <c r="D8" i="10"/>
  <c r="D10" i="10" s="1"/>
  <c r="B6" i="2"/>
  <c r="C43" i="2" l="1"/>
  <c r="F24" i="8" s="1"/>
  <c r="B18" i="8" l="1"/>
  <c r="F88" i="8"/>
  <c r="E88" i="8"/>
  <c r="D88" i="8"/>
  <c r="C88" i="8"/>
  <c r="F86" i="8"/>
  <c r="E86" i="8"/>
  <c r="D86" i="8"/>
  <c r="C86" i="8"/>
  <c r="H52" i="8"/>
  <c r="D52" i="8"/>
  <c r="I52" i="8" s="1"/>
  <c r="C43" i="8"/>
  <c r="D43" i="8" s="1"/>
  <c r="E43" i="8" s="1"/>
  <c r="F43" i="8" s="1"/>
  <c r="C42" i="8"/>
  <c r="D42" i="8" s="1"/>
  <c r="E42" i="8" s="1"/>
  <c r="F42" i="8" s="1"/>
  <c r="C41" i="8"/>
  <c r="D41" i="8" s="1"/>
  <c r="E41" i="8" s="1"/>
  <c r="F41" i="8" s="1"/>
  <c r="C24" i="8"/>
  <c r="K22" i="8"/>
  <c r="J22" i="8"/>
  <c r="I22" i="8"/>
  <c r="H22" i="8"/>
  <c r="B13" i="8"/>
  <c r="B15" i="8" s="1"/>
  <c r="B17" i="8" s="1"/>
  <c r="C26" i="8" s="1"/>
  <c r="B12" i="8"/>
  <c r="E52" i="8" l="1"/>
  <c r="C25" i="8"/>
  <c r="D9" i="9"/>
  <c r="C39" i="8"/>
  <c r="C40" i="8"/>
  <c r="D40" i="8" s="1"/>
  <c r="E40" i="8" s="1"/>
  <c r="F40" i="8" s="1"/>
  <c r="D26" i="8"/>
  <c r="B17" i="2"/>
  <c r="G9" i="9" l="1"/>
  <c r="J9" i="9"/>
  <c r="E26" i="8"/>
  <c r="D31" i="8"/>
  <c r="J52" i="8"/>
  <c r="F52" i="8"/>
  <c r="K52" i="8" s="1"/>
  <c r="D39" i="8"/>
  <c r="C44" i="8"/>
  <c r="C48" i="8" s="1"/>
  <c r="C49" i="8" s="1"/>
  <c r="B24" i="5"/>
  <c r="B22" i="5"/>
  <c r="B19" i="5"/>
  <c r="B8" i="5"/>
  <c r="B7" i="5"/>
  <c r="B6" i="5"/>
  <c r="M22" i="4"/>
  <c r="L22" i="4"/>
  <c r="B15" i="2"/>
  <c r="B23" i="5" l="1"/>
  <c r="F26" i="8"/>
  <c r="E31" i="8"/>
  <c r="D28" i="8"/>
  <c r="E28" i="8"/>
  <c r="C47" i="8"/>
  <c r="H47" i="8" s="1"/>
  <c r="C46" i="8"/>
  <c r="C87" i="8"/>
  <c r="C85" i="8"/>
  <c r="H85" i="8" s="1"/>
  <c r="C84" i="8"/>
  <c r="H84" i="8" s="1"/>
  <c r="E39" i="8"/>
  <c r="B13" i="2"/>
  <c r="B20" i="2" s="1"/>
  <c r="C51" i="8" l="1"/>
  <c r="C60" i="8"/>
  <c r="E34" i="8"/>
  <c r="E30" i="8"/>
  <c r="E29" i="8"/>
  <c r="E33" i="8"/>
  <c r="E32" i="8"/>
  <c r="D30" i="8"/>
  <c r="D34" i="8"/>
  <c r="D33" i="8"/>
  <c r="D29" i="8"/>
  <c r="D32" i="8"/>
  <c r="C57" i="8"/>
  <c r="H57" i="8" s="1"/>
  <c r="F39" i="8"/>
  <c r="H87" i="8"/>
  <c r="H46" i="8"/>
  <c r="H51" i="8" s="1"/>
  <c r="C62" i="8"/>
  <c r="H62" i="8" s="1"/>
  <c r="H48" i="8"/>
  <c r="C89" i="8"/>
  <c r="B14" i="2"/>
  <c r="B7" i="4"/>
  <c r="B12" i="4" s="1"/>
  <c r="B21" i="2" l="1"/>
  <c r="E35" i="8"/>
  <c r="E37" i="8" s="1"/>
  <c r="D35" i="8"/>
  <c r="D37" i="8" s="1"/>
  <c r="H74" i="8"/>
  <c r="C55" i="8"/>
  <c r="H55" i="8" s="1"/>
  <c r="C66" i="8"/>
  <c r="H66" i="8" s="1"/>
  <c r="I57" i="8"/>
  <c r="H89" i="8"/>
  <c r="H81" i="8"/>
  <c r="H53" i="8"/>
  <c r="H73" i="8"/>
  <c r="H75" i="8"/>
  <c r="C67" i="8"/>
  <c r="H67" i="8" s="1"/>
  <c r="H49" i="8"/>
  <c r="H72" i="8"/>
  <c r="C56" i="8"/>
  <c r="C61" i="8" s="1"/>
  <c r="C53" i="8"/>
  <c r="H77" i="8"/>
  <c r="B9" i="4"/>
  <c r="C24" i="4" s="1"/>
  <c r="C13" i="10" s="1"/>
  <c r="C32" i="4"/>
  <c r="D32" i="4" s="1"/>
  <c r="E32" i="4" s="1"/>
  <c r="F32" i="4" s="1"/>
  <c r="G32" i="4" s="1"/>
  <c r="C31" i="4"/>
  <c r="D31" i="4" s="1"/>
  <c r="E31" i="4" s="1"/>
  <c r="F31" i="4" s="1"/>
  <c r="G31" i="4" s="1"/>
  <c r="C30" i="4"/>
  <c r="D30" i="4" s="1"/>
  <c r="E30" i="4" s="1"/>
  <c r="F30" i="4" s="1"/>
  <c r="G30" i="4" s="1"/>
  <c r="K22" i="4"/>
  <c r="J22" i="4"/>
  <c r="I22" i="4"/>
  <c r="B13" i="4"/>
  <c r="E36" i="8" l="1"/>
  <c r="E24" i="8" s="1"/>
  <c r="E25" i="8" s="1"/>
  <c r="E44" i="8" s="1"/>
  <c r="D36" i="8"/>
  <c r="D24" i="8" s="1"/>
  <c r="D10" i="9" s="1"/>
  <c r="C58" i="8"/>
  <c r="H56" i="8"/>
  <c r="C68" i="8"/>
  <c r="H68" i="8" s="1"/>
  <c r="J57" i="8"/>
  <c r="B15" i="4"/>
  <c r="B17" i="4" s="1"/>
  <c r="C26" i="4" s="1"/>
  <c r="C29" i="4" s="1"/>
  <c r="D29" i="4" s="1"/>
  <c r="E29" i="4" s="1"/>
  <c r="F29" i="4" s="1"/>
  <c r="G29" i="4" s="1"/>
  <c r="G24" i="4"/>
  <c r="F24" i="4"/>
  <c r="F25" i="4" s="1"/>
  <c r="C25" i="4"/>
  <c r="G25" i="4" l="1"/>
  <c r="C14" i="10"/>
  <c r="D25" i="8"/>
  <c r="D44" i="8" s="1"/>
  <c r="G10" i="9"/>
  <c r="E48" i="8"/>
  <c r="E47" i="8"/>
  <c r="J47" i="8" s="1"/>
  <c r="E85" i="8"/>
  <c r="J85" i="8" s="1"/>
  <c r="E84" i="8"/>
  <c r="J84" i="8" s="1"/>
  <c r="E87" i="8"/>
  <c r="J87" i="8" s="1"/>
  <c r="E46" i="8"/>
  <c r="H58" i="8"/>
  <c r="K57" i="8"/>
  <c r="C28" i="4"/>
  <c r="D28" i="4" s="1"/>
  <c r="D26" i="4"/>
  <c r="E26" i="4" s="1"/>
  <c r="F26" i="4" s="1"/>
  <c r="G26" i="4" s="1"/>
  <c r="E60" i="8" l="1"/>
  <c r="J74" i="8"/>
  <c r="J73" i="8"/>
  <c r="R6" i="9" s="1"/>
  <c r="J46" i="8"/>
  <c r="G5" i="9" s="1"/>
  <c r="E62" i="8"/>
  <c r="J62" i="8" s="1"/>
  <c r="E49" i="8"/>
  <c r="E89" i="8" s="1"/>
  <c r="E57" i="8"/>
  <c r="J48" i="8"/>
  <c r="D48" i="8"/>
  <c r="D47" i="8"/>
  <c r="I47" i="8" s="1"/>
  <c r="D84" i="8"/>
  <c r="I84" i="8" s="1"/>
  <c r="D87" i="8"/>
  <c r="D85" i="8"/>
  <c r="I85" i="8" s="1"/>
  <c r="D46" i="8"/>
  <c r="C33" i="4"/>
  <c r="C36" i="4" s="1"/>
  <c r="I36" i="4" s="1"/>
  <c r="E28" i="4"/>
  <c r="F28" i="4" s="1"/>
  <c r="D57" i="8" l="1"/>
  <c r="I77" i="8" s="1"/>
  <c r="O10" i="9" s="1"/>
  <c r="D60" i="8"/>
  <c r="J81" i="8"/>
  <c r="G26" i="9" s="1"/>
  <c r="J89" i="8"/>
  <c r="E55" i="8"/>
  <c r="J55" i="8" s="1"/>
  <c r="I73" i="8"/>
  <c r="O6" i="9" s="1"/>
  <c r="I74" i="8"/>
  <c r="I46" i="8"/>
  <c r="D5" i="9" s="1"/>
  <c r="D66" i="8"/>
  <c r="D62" i="8"/>
  <c r="I62" i="8" s="1"/>
  <c r="E66" i="8"/>
  <c r="J77" i="8"/>
  <c r="R10" i="9" s="1"/>
  <c r="D49" i="8"/>
  <c r="D89" i="8" s="1"/>
  <c r="I48" i="8"/>
  <c r="J75" i="8"/>
  <c r="R8" i="9" s="1"/>
  <c r="J49" i="8"/>
  <c r="G7" i="9" s="1"/>
  <c r="E67" i="8"/>
  <c r="J67" i="8" s="1"/>
  <c r="G21" i="9" s="1"/>
  <c r="J72" i="8"/>
  <c r="R5" i="9" s="1"/>
  <c r="I87" i="8"/>
  <c r="E53" i="8"/>
  <c r="J53" i="8" s="1"/>
  <c r="G6" i="9" s="1"/>
  <c r="J51" i="8"/>
  <c r="E56" i="8"/>
  <c r="F33" i="4"/>
  <c r="G28" i="4"/>
  <c r="G33" i="4" s="1"/>
  <c r="C37" i="4"/>
  <c r="C38" i="4" s="1"/>
  <c r="C35" i="4"/>
  <c r="I35" i="4" s="1"/>
  <c r="J56" i="8" l="1"/>
  <c r="E61" i="8"/>
  <c r="D55" i="8"/>
  <c r="I55" i="8" s="1"/>
  <c r="I89" i="8"/>
  <c r="I81" i="8"/>
  <c r="D26" i="9" s="1"/>
  <c r="J66" i="8"/>
  <c r="G20" i="9" s="1"/>
  <c r="E68" i="8"/>
  <c r="J68" i="8" s="1"/>
  <c r="G22" i="9" s="1"/>
  <c r="D56" i="8"/>
  <c r="D53" i="8"/>
  <c r="I53" i="8" s="1"/>
  <c r="D6" i="9" s="1"/>
  <c r="I51" i="8"/>
  <c r="E58" i="8"/>
  <c r="J58" i="8" s="1"/>
  <c r="I72" i="8"/>
  <c r="O5" i="9" s="1"/>
  <c r="I75" i="8"/>
  <c r="O8" i="9" s="1"/>
  <c r="D67" i="8"/>
  <c r="I67" i="8" s="1"/>
  <c r="D21" i="9" s="1"/>
  <c r="I49" i="8"/>
  <c r="D7" i="9" s="1"/>
  <c r="I66" i="8"/>
  <c r="D20" i="9" s="1"/>
  <c r="I37" i="4"/>
  <c r="C41" i="4"/>
  <c r="I41" i="4" s="1"/>
  <c r="C40" i="4"/>
  <c r="I40" i="4" s="1"/>
  <c r="G35" i="4"/>
  <c r="G36" i="4"/>
  <c r="G37" i="4"/>
  <c r="F36" i="4"/>
  <c r="F35" i="4"/>
  <c r="F37" i="4"/>
  <c r="I50" i="4"/>
  <c r="I52" i="4"/>
  <c r="I51" i="4"/>
  <c r="I46" i="4"/>
  <c r="I49" i="4"/>
  <c r="I47" i="4"/>
  <c r="C58" i="4"/>
  <c r="I38" i="4"/>
  <c r="I45" i="4"/>
  <c r="D68" i="8" l="1"/>
  <c r="I68" i="8" s="1"/>
  <c r="D22" i="9" s="1"/>
  <c r="I56" i="8"/>
  <c r="D61" i="8"/>
  <c r="D58" i="8"/>
  <c r="I58" i="8" s="1"/>
  <c r="C42" i="4"/>
  <c r="I42" i="4" s="1"/>
  <c r="C57" i="4"/>
  <c r="C59" i="4" s="1"/>
  <c r="F41" i="4"/>
  <c r="L41" i="4" s="1"/>
  <c r="G41" i="4"/>
  <c r="G57" i="4" s="1"/>
  <c r="M36" i="4"/>
  <c r="M35" i="4"/>
  <c r="G38" i="4"/>
  <c r="M37" i="4"/>
  <c r="F38" i="4"/>
  <c r="L37" i="4"/>
  <c r="L36" i="4"/>
  <c r="L35" i="4"/>
  <c r="M41" i="4" l="1"/>
  <c r="F57" i="4"/>
  <c r="F58" i="4"/>
  <c r="L38" i="4"/>
  <c r="M38" i="4"/>
  <c r="G58" i="4"/>
  <c r="G59" i="4" s="1"/>
  <c r="F40" i="4"/>
  <c r="G40" i="4"/>
  <c r="F77" i="1"/>
  <c r="E77" i="1"/>
  <c r="D77" i="1"/>
  <c r="C77" i="1"/>
  <c r="F75" i="1"/>
  <c r="E75" i="1"/>
  <c r="D75" i="1"/>
  <c r="C75" i="1"/>
  <c r="F59" i="4" l="1"/>
  <c r="M40" i="4"/>
  <c r="G42" i="4"/>
  <c r="F42" i="4"/>
  <c r="L40" i="4"/>
  <c r="B9" i="2"/>
  <c r="B8" i="2"/>
  <c r="L42" i="4" l="1"/>
  <c r="M42" i="4"/>
  <c r="B19" i="3"/>
  <c r="B20" i="3"/>
  <c r="B18" i="3" l="1"/>
  <c r="B8" i="3"/>
  <c r="G28" i="2"/>
  <c r="B9" i="3" s="1"/>
  <c r="B6" i="3" l="1"/>
  <c r="D32" i="2"/>
  <c r="B31" i="2"/>
  <c r="B29" i="2"/>
  <c r="D28" i="2"/>
  <c r="B27" i="2"/>
  <c r="B35" i="2" l="1"/>
  <c r="B30" i="2"/>
  <c r="B33" i="2" s="1"/>
  <c r="B34" i="2" s="1"/>
  <c r="B21" i="3"/>
  <c r="C8" i="3"/>
  <c r="B7" i="3"/>
  <c r="H41" i="1"/>
  <c r="D41" i="1"/>
  <c r="E41" i="1" s="1"/>
  <c r="H69" i="8" l="1"/>
  <c r="I62" i="4"/>
  <c r="A15" i="3"/>
  <c r="D8" i="3"/>
  <c r="B10" i="3"/>
  <c r="I41" i="1"/>
  <c r="J41" i="1"/>
  <c r="F41" i="1"/>
  <c r="K41" i="1" s="1"/>
  <c r="B18" i="1" l="1"/>
  <c r="C24" i="1" l="1"/>
  <c r="K22" i="1"/>
  <c r="J22" i="1"/>
  <c r="I22" i="1"/>
  <c r="H22" i="1"/>
  <c r="C32" i="1"/>
  <c r="D32" i="1" s="1"/>
  <c r="E32" i="1" s="1"/>
  <c r="F32" i="1" s="1"/>
  <c r="C31" i="1"/>
  <c r="D31" i="1" s="1"/>
  <c r="E31" i="1" s="1"/>
  <c r="F31" i="1" s="1"/>
  <c r="C30" i="1"/>
  <c r="D30" i="1" s="1"/>
  <c r="E30" i="1" s="1"/>
  <c r="F30" i="1" s="1"/>
  <c r="D24" i="1" l="1"/>
  <c r="C10" i="9" s="1"/>
  <c r="C9" i="9"/>
  <c r="E24" i="1"/>
  <c r="F10" i="9" s="1"/>
  <c r="B14" i="10" s="1"/>
  <c r="B13" i="1"/>
  <c r="B12" i="1"/>
  <c r="F9" i="9" l="1"/>
  <c r="B13" i="10" s="1"/>
  <c r="I9" i="9"/>
  <c r="B15" i="1"/>
  <c r="B17" i="1" s="1"/>
  <c r="C26" i="1" s="1"/>
  <c r="D26" i="1" s="1"/>
  <c r="E25" i="1"/>
  <c r="D25" i="1"/>
  <c r="C25" i="1"/>
  <c r="C29" i="1" l="1"/>
  <c r="D29" i="1" s="1"/>
  <c r="E29" i="1" s="1"/>
  <c r="F29" i="1" s="1"/>
  <c r="C28" i="1"/>
  <c r="D28" i="1" s="1"/>
  <c r="E28" i="1" s="1"/>
  <c r="F28" i="1" s="1"/>
  <c r="E26" i="1"/>
  <c r="C33" i="1" l="1"/>
  <c r="F26" i="1"/>
  <c r="D33" i="1"/>
  <c r="F358" i="11" s="1"/>
  <c r="C35" i="1" l="1"/>
  <c r="C40" i="1" s="1"/>
  <c r="F355" i="11"/>
  <c r="D73" i="1"/>
  <c r="D76" i="1"/>
  <c r="D74" i="1"/>
  <c r="C37" i="1"/>
  <c r="C38" i="1" s="1"/>
  <c r="C76" i="1"/>
  <c r="H76" i="1" s="1"/>
  <c r="C73" i="1"/>
  <c r="H73" i="1" s="1"/>
  <c r="C74" i="1"/>
  <c r="H74" i="1" s="1"/>
  <c r="C36" i="1"/>
  <c r="D37" i="1"/>
  <c r="D35" i="1"/>
  <c r="D36" i="1"/>
  <c r="E33" i="1"/>
  <c r="F361" i="11" s="1"/>
  <c r="H40" i="1" l="1"/>
  <c r="D40" i="1"/>
  <c r="H36" i="1"/>
  <c r="C44" i="4"/>
  <c r="I76" i="1"/>
  <c r="C78" i="1"/>
  <c r="E74" i="1"/>
  <c r="J74" i="1" s="1"/>
  <c r="E73" i="1"/>
  <c r="J73" i="1" s="1"/>
  <c r="E76" i="1"/>
  <c r="J76" i="1" s="1"/>
  <c r="I74" i="1"/>
  <c r="I73" i="1"/>
  <c r="D46" i="1"/>
  <c r="H37" i="1"/>
  <c r="C46" i="1"/>
  <c r="C51" i="1"/>
  <c r="H51" i="1" s="1"/>
  <c r="D51" i="1"/>
  <c r="H38" i="1"/>
  <c r="C56" i="1"/>
  <c r="H35" i="1"/>
  <c r="I36" i="1"/>
  <c r="I35" i="1"/>
  <c r="C5" i="9" s="1"/>
  <c r="C44" i="1"/>
  <c r="D38" i="1"/>
  <c r="D78" i="1" s="1"/>
  <c r="I37" i="1"/>
  <c r="E37" i="1"/>
  <c r="E35" i="1"/>
  <c r="E40" i="1" s="1"/>
  <c r="E36" i="1"/>
  <c r="J36" i="1" s="1"/>
  <c r="F429" i="11" l="1"/>
  <c r="F432" i="11" s="1"/>
  <c r="F418" i="11"/>
  <c r="F419" i="11" s="1"/>
  <c r="F422" i="11" s="1"/>
  <c r="F364" i="11"/>
  <c r="F61" i="11"/>
  <c r="I44" i="4"/>
  <c r="F44" i="4"/>
  <c r="L44" i="4" s="1"/>
  <c r="G44" i="4"/>
  <c r="M44" i="4" s="1"/>
  <c r="I78" i="1"/>
  <c r="I70" i="1"/>
  <c r="C26" i="9" s="1"/>
  <c r="H70" i="1"/>
  <c r="H78" i="1"/>
  <c r="C42" i="1"/>
  <c r="C45" i="4" s="1"/>
  <c r="H46" i="1"/>
  <c r="H66" i="1"/>
  <c r="H64" i="1"/>
  <c r="H61" i="1"/>
  <c r="H62" i="1"/>
  <c r="J62" i="1"/>
  <c r="Q6" i="9" s="1"/>
  <c r="E46" i="1"/>
  <c r="J66" i="1" s="1"/>
  <c r="Q10" i="9" s="1"/>
  <c r="I64" i="1"/>
  <c r="N8" i="9" s="1"/>
  <c r="I51" i="1"/>
  <c r="D55" i="1"/>
  <c r="I66" i="1"/>
  <c r="N10" i="9" s="1"/>
  <c r="H56" i="1"/>
  <c r="I61" i="1"/>
  <c r="N5" i="9" s="1"/>
  <c r="I62" i="1"/>
  <c r="N6" i="9" s="1"/>
  <c r="E51" i="1"/>
  <c r="J51" i="1" s="1"/>
  <c r="I38" i="1"/>
  <c r="C7" i="9" s="1"/>
  <c r="D56" i="1"/>
  <c r="I56" i="1" s="1"/>
  <c r="C21" i="9" s="1"/>
  <c r="C55" i="1"/>
  <c r="H42" i="1"/>
  <c r="C45" i="1"/>
  <c r="I46" i="1"/>
  <c r="J35" i="1"/>
  <c r="F5" i="9" s="1"/>
  <c r="J37" i="1"/>
  <c r="E38" i="1"/>
  <c r="E78" i="1" s="1"/>
  <c r="H44" i="1"/>
  <c r="D44" i="1"/>
  <c r="F72" i="11" l="1"/>
  <c r="F71" i="11"/>
  <c r="F45" i="4"/>
  <c r="G45" i="4"/>
  <c r="C61" i="4"/>
  <c r="J70" i="1"/>
  <c r="F26" i="9" s="1"/>
  <c r="J78" i="1"/>
  <c r="J64" i="1"/>
  <c r="Q8" i="9" s="1"/>
  <c r="J61" i="1"/>
  <c r="Q5" i="9" s="1"/>
  <c r="E55" i="1"/>
  <c r="J55" i="1" s="1"/>
  <c r="F20" i="9" s="1"/>
  <c r="E42" i="1"/>
  <c r="J42" i="1" s="1"/>
  <c r="D42" i="1"/>
  <c r="I42" i="1" s="1"/>
  <c r="H45" i="1"/>
  <c r="J46" i="1"/>
  <c r="H55" i="1"/>
  <c r="C57" i="1"/>
  <c r="H57" i="1" s="1"/>
  <c r="I55" i="1"/>
  <c r="C20" i="9" s="1"/>
  <c r="F69" i="11" s="1"/>
  <c r="J38" i="1"/>
  <c r="F7" i="9" s="1"/>
  <c r="E56" i="1"/>
  <c r="J56" i="1" s="1"/>
  <c r="F21" i="9" s="1"/>
  <c r="D57" i="1"/>
  <c r="C47" i="1"/>
  <c r="C46" i="4" s="1"/>
  <c r="D45" i="1"/>
  <c r="E45" i="1"/>
  <c r="I40" i="1"/>
  <c r="J40" i="1"/>
  <c r="E44" i="1"/>
  <c r="I44" i="1"/>
  <c r="I58" i="1" l="1"/>
  <c r="C6" i="9"/>
  <c r="J58" i="1"/>
  <c r="F74" i="11" s="1"/>
  <c r="F75" i="11" s="1"/>
  <c r="F6" i="9"/>
  <c r="M45" i="4"/>
  <c r="G61" i="4"/>
  <c r="L45" i="4"/>
  <c r="F61" i="4"/>
  <c r="C60" i="4"/>
  <c r="D46" i="4"/>
  <c r="E46" i="4" s="1"/>
  <c r="F46" i="4" s="1"/>
  <c r="F60" i="4" s="1"/>
  <c r="C47" i="4"/>
  <c r="H47" i="1"/>
  <c r="I45" i="1"/>
  <c r="J45" i="1"/>
  <c r="E57" i="1"/>
  <c r="J57" i="1" s="1"/>
  <c r="F22" i="9" s="1"/>
  <c r="I57" i="1"/>
  <c r="C22" i="9" s="1"/>
  <c r="H58" i="1"/>
  <c r="D47" i="1"/>
  <c r="E47" i="1"/>
  <c r="J44" i="1"/>
  <c r="C29" i="2"/>
  <c r="C27" i="2"/>
  <c r="C31" i="2"/>
  <c r="D31" i="2" s="1"/>
  <c r="F421" i="11" l="1"/>
  <c r="F62" i="11"/>
  <c r="B8" i="7"/>
  <c r="L62" i="4"/>
  <c r="C8" i="7"/>
  <c r="M62" i="4"/>
  <c r="F47" i="4"/>
  <c r="L47" i="4" s="1"/>
  <c r="F50" i="4"/>
  <c r="G50" i="4"/>
  <c r="L46" i="4"/>
  <c r="G46" i="4"/>
  <c r="C49" i="4"/>
  <c r="C51" i="4" s="1"/>
  <c r="C50" i="4"/>
  <c r="B10" i="2"/>
  <c r="J47" i="1"/>
  <c r="I47" i="1"/>
  <c r="D27" i="2"/>
  <c r="C38" i="2"/>
  <c r="C9" i="3" s="1"/>
  <c r="C10" i="3" s="1"/>
  <c r="C35" i="2"/>
  <c r="C6" i="3" s="1"/>
  <c r="C30" i="2"/>
  <c r="C33" i="2" s="1"/>
  <c r="B18" i="2" s="1"/>
  <c r="D29" i="2"/>
  <c r="C40" i="2" l="1"/>
  <c r="B8" i="10"/>
  <c r="F267" i="11" s="1"/>
  <c r="I69" i="8"/>
  <c r="J69" i="8"/>
  <c r="F49" i="4"/>
  <c r="L49" i="4" s="1"/>
  <c r="B9" i="7" s="1"/>
  <c r="L57" i="4"/>
  <c r="M57" i="4"/>
  <c r="L58" i="4"/>
  <c r="B15" i="7" s="1"/>
  <c r="H13" i="7" s="1"/>
  <c r="G13" i="7" s="1"/>
  <c r="M59" i="4"/>
  <c r="C13" i="7" s="1"/>
  <c r="M58" i="4"/>
  <c r="C15" i="7" s="1"/>
  <c r="L59" i="4"/>
  <c r="B13" i="7" s="1"/>
  <c r="L60" i="4"/>
  <c r="B14" i="7" s="1"/>
  <c r="L68" i="4"/>
  <c r="B19" i="7" s="1"/>
  <c r="H15" i="7" s="1"/>
  <c r="M50" i="4"/>
  <c r="L50" i="4"/>
  <c r="M46" i="4"/>
  <c r="G60" i="4"/>
  <c r="M60" i="4" s="1"/>
  <c r="C14" i="7" s="1"/>
  <c r="G47" i="4"/>
  <c r="M68" i="4"/>
  <c r="C19" i="7" s="1"/>
  <c r="I68" i="4"/>
  <c r="I59" i="4"/>
  <c r="I57" i="4"/>
  <c r="I58" i="4"/>
  <c r="I60" i="4"/>
  <c r="C52" i="4"/>
  <c r="C41" i="2"/>
  <c r="C37" i="2"/>
  <c r="D9" i="3" s="1"/>
  <c r="D10" i="3" s="1"/>
  <c r="B4" i="3"/>
  <c r="C34" i="2"/>
  <c r="D6" i="3" s="1"/>
  <c r="D35" i="2"/>
  <c r="C7" i="3" s="1"/>
  <c r="D33" i="2"/>
  <c r="D30" i="2"/>
  <c r="H17" i="7" l="1"/>
  <c r="G17" i="7" s="1"/>
  <c r="H18" i="7"/>
  <c r="G15" i="7"/>
  <c r="G18" i="7"/>
  <c r="M25" i="8"/>
  <c r="O7" i="9"/>
  <c r="H61" i="8"/>
  <c r="R7" i="9"/>
  <c r="B12" i="7"/>
  <c r="C12" i="7"/>
  <c r="C8" i="10" s="1"/>
  <c r="F278" i="11" s="1"/>
  <c r="F51" i="4"/>
  <c r="L51" i="4" s="1"/>
  <c r="M47" i="4"/>
  <c r="G49" i="4"/>
  <c r="C53" i="4"/>
  <c r="C54" i="4" s="1"/>
  <c r="E24" i="4"/>
  <c r="E25" i="4" s="1"/>
  <c r="D24" i="4"/>
  <c r="O25" i="4" s="1"/>
  <c r="O24" i="4" s="1" a="1"/>
  <c r="O24" i="4" s="1"/>
  <c r="H63" i="1"/>
  <c r="B5" i="3"/>
  <c r="C5" i="3" s="1"/>
  <c r="D41" i="2"/>
  <c r="H78" i="8" s="1"/>
  <c r="F24" i="1"/>
  <c r="I10" i="9" s="1"/>
  <c r="C49" i="1"/>
  <c r="H65" i="1" s="1"/>
  <c r="D49" i="1"/>
  <c r="E49" i="1"/>
  <c r="J63" i="1"/>
  <c r="Q7" i="9" s="1"/>
  <c r="I63" i="1"/>
  <c r="N7" i="9" s="1"/>
  <c r="C50" i="1"/>
  <c r="H50" i="1" s="1"/>
  <c r="D50" i="1"/>
  <c r="E50" i="1"/>
  <c r="D34" i="2"/>
  <c r="D7" i="3" s="1"/>
  <c r="D4" i="3"/>
  <c r="C4" i="3"/>
  <c r="F204" i="11" l="1"/>
  <c r="F205" i="11"/>
  <c r="I78" i="8"/>
  <c r="O11" i="9" s="1"/>
  <c r="C19" i="8"/>
  <c r="J61" i="8"/>
  <c r="I61" i="8"/>
  <c r="J60" i="8"/>
  <c r="E63" i="8"/>
  <c r="H76" i="8"/>
  <c r="H60" i="8"/>
  <c r="I76" i="8"/>
  <c r="O9" i="9" s="1"/>
  <c r="O13" i="9" s="1"/>
  <c r="O14" i="9" s="1"/>
  <c r="C63" i="8"/>
  <c r="J76" i="8"/>
  <c r="R9" i="9" s="1"/>
  <c r="J10" i="9"/>
  <c r="F25" i="8"/>
  <c r="J78" i="8"/>
  <c r="R11" i="9" s="1"/>
  <c r="I60" i="8"/>
  <c r="D63" i="8"/>
  <c r="F52" i="4"/>
  <c r="L65" i="4"/>
  <c r="M65" i="4"/>
  <c r="M49" i="4"/>
  <c r="C9" i="7" s="1"/>
  <c r="G51" i="4"/>
  <c r="M51" i="4" s="1"/>
  <c r="D25" i="4"/>
  <c r="D33" i="4" s="1"/>
  <c r="E33" i="4"/>
  <c r="I53" i="4"/>
  <c r="I54" i="4"/>
  <c r="I64" i="4" s="1"/>
  <c r="H67" i="1"/>
  <c r="I65" i="4"/>
  <c r="I66" i="4" s="1"/>
  <c r="B11" i="3"/>
  <c r="B12" i="3" s="1"/>
  <c r="H70" i="8" s="1"/>
  <c r="D5" i="3"/>
  <c r="D11" i="3" s="1"/>
  <c r="D12" i="3" s="1"/>
  <c r="J50" i="1"/>
  <c r="I50" i="1"/>
  <c r="I65" i="1"/>
  <c r="N9" i="9" s="1"/>
  <c r="H49" i="1"/>
  <c r="C52" i="1"/>
  <c r="J65" i="1"/>
  <c r="Q9" i="9" s="1"/>
  <c r="J49" i="1"/>
  <c r="E52" i="1"/>
  <c r="F25" i="1"/>
  <c r="M25" i="1"/>
  <c r="M24" i="1" s="1" a="1"/>
  <c r="M24" i="1" s="1"/>
  <c r="I67" i="1"/>
  <c r="N11" i="9" s="1"/>
  <c r="J67" i="1"/>
  <c r="Q11" i="9" s="1"/>
  <c r="I49" i="1"/>
  <c r="D52" i="1"/>
  <c r="C11" i="3"/>
  <c r="C12" i="3" s="1"/>
  <c r="C14" i="3" s="1"/>
  <c r="R13" i="9" l="1"/>
  <c r="R14" i="9" s="1"/>
  <c r="N13" i="9"/>
  <c r="Q13" i="9"/>
  <c r="Q14" i="9" s="1"/>
  <c r="H63" i="8"/>
  <c r="H71" i="8" s="1"/>
  <c r="H79" i="8"/>
  <c r="H80" i="8" s="1"/>
  <c r="J70" i="8"/>
  <c r="G24" i="9" s="1"/>
  <c r="I70" i="8"/>
  <c r="D24" i="9" s="1"/>
  <c r="B23" i="8"/>
  <c r="M26" i="8"/>
  <c r="F44" i="8"/>
  <c r="J79" i="8"/>
  <c r="J80" i="8" s="1"/>
  <c r="G25" i="9" s="1"/>
  <c r="J63" i="8"/>
  <c r="J71" i="8" s="1"/>
  <c r="I79" i="8"/>
  <c r="I80" i="8" s="1"/>
  <c r="D25" i="9" s="1"/>
  <c r="I63" i="8"/>
  <c r="I71" i="8" s="1"/>
  <c r="L52" i="4"/>
  <c r="F53" i="4"/>
  <c r="D14" i="3"/>
  <c r="L63" i="4"/>
  <c r="B17" i="7" s="1"/>
  <c r="M63" i="4"/>
  <c r="C17" i="7" s="1"/>
  <c r="G52" i="4"/>
  <c r="E36" i="4"/>
  <c r="E35" i="4"/>
  <c r="E37" i="4"/>
  <c r="D37" i="4"/>
  <c r="D36" i="4"/>
  <c r="D35" i="4"/>
  <c r="B23" i="4"/>
  <c r="O26" i="4"/>
  <c r="C19" i="4"/>
  <c r="B25" i="4"/>
  <c r="I67" i="4"/>
  <c r="I59" i="1"/>
  <c r="C24" i="9" s="1"/>
  <c r="I63" i="4"/>
  <c r="B14" i="3"/>
  <c r="J59" i="1"/>
  <c r="F24" i="9" s="1"/>
  <c r="H59" i="1"/>
  <c r="H52" i="1"/>
  <c r="H60" i="1" s="1"/>
  <c r="H68" i="1"/>
  <c r="H69" i="1" s="1"/>
  <c r="I52" i="1"/>
  <c r="I60" i="1" s="1"/>
  <c r="I68" i="1"/>
  <c r="I69" i="1" s="1"/>
  <c r="C25" i="9" s="1"/>
  <c r="B23" i="1"/>
  <c r="B25" i="1"/>
  <c r="M26" i="1"/>
  <c r="B24" i="1"/>
  <c r="C19" i="1"/>
  <c r="J52" i="1"/>
  <c r="J60" i="1" s="1"/>
  <c r="J68" i="1"/>
  <c r="J69" i="1" s="1"/>
  <c r="F25" i="9" s="1"/>
  <c r="F691" i="11" s="1"/>
  <c r="F33" i="1"/>
  <c r="F363" i="11" s="1"/>
  <c r="H14" i="7" l="1"/>
  <c r="G14" i="7" s="1"/>
  <c r="N14" i="9"/>
  <c r="F658" i="11" s="1"/>
  <c r="D23" i="9"/>
  <c r="D27" i="9" s="1"/>
  <c r="F23" i="9"/>
  <c r="G23" i="9"/>
  <c r="G27" i="9" s="1"/>
  <c r="F47" i="8"/>
  <c r="K47" i="8" s="1"/>
  <c r="F46" i="8"/>
  <c r="F87" i="8"/>
  <c r="F48" i="8"/>
  <c r="F85" i="8"/>
  <c r="K85" i="8" s="1"/>
  <c r="F84" i="8"/>
  <c r="K84" i="8" s="1"/>
  <c r="C23" i="9"/>
  <c r="C27" i="9" s="1"/>
  <c r="M52" i="4"/>
  <c r="G53" i="4"/>
  <c r="G54" i="4" s="1"/>
  <c r="M66" i="4" s="1"/>
  <c r="L53" i="4"/>
  <c r="F54" i="4"/>
  <c r="E41" i="4"/>
  <c r="E57" i="4" s="1"/>
  <c r="K57" i="4" s="1"/>
  <c r="D41" i="4"/>
  <c r="D57" i="4" s="1"/>
  <c r="J57" i="4" s="1"/>
  <c r="J36" i="4"/>
  <c r="D44" i="4"/>
  <c r="K36" i="4"/>
  <c r="E44" i="4"/>
  <c r="J35" i="4"/>
  <c r="K37" i="4"/>
  <c r="E38" i="4"/>
  <c r="E40" i="4" s="1"/>
  <c r="K35" i="4"/>
  <c r="J37" i="4"/>
  <c r="D38" i="4"/>
  <c r="F73" i="1"/>
  <c r="K73" i="1" s="1"/>
  <c r="F76" i="1"/>
  <c r="K76" i="1" s="1"/>
  <c r="F74" i="1"/>
  <c r="K74" i="1" s="1"/>
  <c r="F37" i="1"/>
  <c r="F35" i="1"/>
  <c r="F40" i="1" s="1"/>
  <c r="F36" i="1"/>
  <c r="K36" i="1" s="1"/>
  <c r="C28" i="9" l="1"/>
  <c r="F27" i="9"/>
  <c r="F28" i="9" s="1"/>
  <c r="B9" i="10"/>
  <c r="F60" i="8"/>
  <c r="M53" i="4"/>
  <c r="F57" i="8"/>
  <c r="K77" i="8" s="1"/>
  <c r="U10" i="9" s="1"/>
  <c r="K48" i="8"/>
  <c r="F49" i="8"/>
  <c r="F89" i="8" s="1"/>
  <c r="K87" i="8"/>
  <c r="K74" i="8"/>
  <c r="K73" i="8"/>
  <c r="U6" i="9" s="1"/>
  <c r="K46" i="8"/>
  <c r="J5" i="9" s="1"/>
  <c r="F62" i="8"/>
  <c r="K62" i="8" s="1"/>
  <c r="L66" i="4"/>
  <c r="L67" i="4" s="1"/>
  <c r="B18" i="7" s="1"/>
  <c r="L54" i="4"/>
  <c r="L64" i="4" s="1"/>
  <c r="B11" i="7" s="1"/>
  <c r="K41" i="4"/>
  <c r="J41" i="4"/>
  <c r="M54" i="4"/>
  <c r="M64" i="4" s="1"/>
  <c r="C11" i="7" s="1"/>
  <c r="M67" i="4"/>
  <c r="C18" i="7" s="1"/>
  <c r="C16" i="7" s="1"/>
  <c r="E45" i="4"/>
  <c r="E61" i="4" s="1"/>
  <c r="K68" i="4" s="1"/>
  <c r="C45" i="7" s="1"/>
  <c r="K46" i="4"/>
  <c r="K44" i="4"/>
  <c r="D40" i="4"/>
  <c r="J40" i="4" s="1"/>
  <c r="D45" i="4"/>
  <c r="D61" i="4" s="1"/>
  <c r="J68" i="4" s="1"/>
  <c r="B45" i="7" s="1"/>
  <c r="J46" i="4"/>
  <c r="J44" i="4"/>
  <c r="E58" i="4"/>
  <c r="K58" i="4" s="1"/>
  <c r="C41" i="7" s="1"/>
  <c r="F233" i="11" s="1"/>
  <c r="K38" i="4"/>
  <c r="E42" i="4"/>
  <c r="E50" i="4" s="1"/>
  <c r="K50" i="4" s="1"/>
  <c r="K40" i="4"/>
  <c r="D58" i="4"/>
  <c r="J58" i="4" s="1"/>
  <c r="B41" i="7" s="1"/>
  <c r="J38" i="4"/>
  <c r="F46" i="1"/>
  <c r="K66" i="1" s="1"/>
  <c r="T10" i="9" s="1"/>
  <c r="K35" i="1"/>
  <c r="I5" i="9" s="1"/>
  <c r="F49" i="1"/>
  <c r="K62" i="1"/>
  <c r="T6" i="9" s="1"/>
  <c r="F51" i="1"/>
  <c r="K51" i="1" s="1"/>
  <c r="K37" i="1"/>
  <c r="F38" i="1"/>
  <c r="F44" i="1" s="1"/>
  <c r="B16" i="7" l="1"/>
  <c r="B20" i="7" s="1"/>
  <c r="H16" i="7"/>
  <c r="G16" i="7" s="1"/>
  <c r="F202" i="11"/>
  <c r="F201" i="11"/>
  <c r="B10" i="10"/>
  <c r="F12" i="11" s="1"/>
  <c r="F269" i="11"/>
  <c r="C20" i="7"/>
  <c r="C9" i="10"/>
  <c r="F66" i="8"/>
  <c r="K66" i="8" s="1"/>
  <c r="J20" i="9" s="1"/>
  <c r="K51" i="8"/>
  <c r="F56" i="8"/>
  <c r="F61" i="8" s="1"/>
  <c r="F53" i="8"/>
  <c r="K53" i="8" s="1"/>
  <c r="U7" i="9"/>
  <c r="K60" i="8"/>
  <c r="K76" i="8"/>
  <c r="U9" i="9" s="1"/>
  <c r="F55" i="8"/>
  <c r="K72" i="8"/>
  <c r="U5" i="9" s="1"/>
  <c r="K49" i="8"/>
  <c r="J7" i="9" s="1"/>
  <c r="F67" i="8"/>
  <c r="K67" i="8" s="1"/>
  <c r="J21" i="9" s="1"/>
  <c r="K75" i="8"/>
  <c r="U8" i="9" s="1"/>
  <c r="K89" i="8"/>
  <c r="K81" i="8"/>
  <c r="J26" i="9" s="1"/>
  <c r="E47" i="4"/>
  <c r="K47" i="4" s="1"/>
  <c r="E60" i="4"/>
  <c r="K60" i="4" s="1"/>
  <c r="C40" i="7" s="1"/>
  <c r="D47" i="4"/>
  <c r="J47" i="4" s="1"/>
  <c r="D60" i="4"/>
  <c r="J60" i="4" s="1"/>
  <c r="B40" i="7" s="1"/>
  <c r="D42" i="4"/>
  <c r="D50" i="4" s="1"/>
  <c r="J50" i="4" s="1"/>
  <c r="K45" i="4"/>
  <c r="K62" i="4" s="1"/>
  <c r="J45" i="4"/>
  <c r="J62" i="4" s="1"/>
  <c r="K42" i="4"/>
  <c r="F78" i="1"/>
  <c r="K46" i="1"/>
  <c r="F55" i="1"/>
  <c r="K55" i="1" s="1"/>
  <c r="I20" i="9" s="1"/>
  <c r="K65" i="1"/>
  <c r="T9" i="9" s="1"/>
  <c r="K49" i="1"/>
  <c r="K63" i="1"/>
  <c r="T7" i="9" s="1"/>
  <c r="F45" i="1"/>
  <c r="K40" i="1"/>
  <c r="F42" i="1"/>
  <c r="K42" i="1" s="1"/>
  <c r="K44" i="1"/>
  <c r="K38" i="1"/>
  <c r="I7" i="9" s="1"/>
  <c r="F5" i="11" s="1"/>
  <c r="F56" i="1"/>
  <c r="K56" i="1" s="1"/>
  <c r="I21" i="9" s="1"/>
  <c r="K64" i="1"/>
  <c r="T8" i="9" s="1"/>
  <c r="K61" i="1"/>
  <c r="T5" i="9" s="1"/>
  <c r="C10" i="10" l="1"/>
  <c r="F280" i="11"/>
  <c r="G19" i="7"/>
  <c r="F9" i="11"/>
  <c r="F209" i="11"/>
  <c r="F68" i="8"/>
  <c r="K68" i="8" s="1"/>
  <c r="J22" i="9" s="1"/>
  <c r="F58" i="8"/>
  <c r="K55" i="8"/>
  <c r="J6" i="9"/>
  <c r="F7" i="11" s="1"/>
  <c r="K69" i="8"/>
  <c r="K58" i="1"/>
  <c r="K67" i="1" s="1"/>
  <c r="T11" i="9" s="1"/>
  <c r="T13" i="9" s="1"/>
  <c r="I6" i="9"/>
  <c r="F8" i="11" s="1"/>
  <c r="K56" i="8"/>
  <c r="K61" i="8"/>
  <c r="J65" i="4"/>
  <c r="B34" i="7"/>
  <c r="K65" i="4"/>
  <c r="C34" i="7"/>
  <c r="E49" i="4"/>
  <c r="E51" i="4" s="1"/>
  <c r="J42" i="4"/>
  <c r="D49" i="4"/>
  <c r="E59" i="4"/>
  <c r="K59" i="4" s="1"/>
  <c r="C39" i="7" s="1"/>
  <c r="C38" i="7" s="1"/>
  <c r="D59" i="4"/>
  <c r="J59" i="4" s="1"/>
  <c r="B39" i="7" s="1"/>
  <c r="B38" i="7" s="1"/>
  <c r="K78" i="1"/>
  <c r="K70" i="1"/>
  <c r="I26" i="9" s="1"/>
  <c r="F57" i="1"/>
  <c r="K57" i="1" s="1"/>
  <c r="I22" i="9" s="1"/>
  <c r="F50" i="1"/>
  <c r="K50" i="1" s="1"/>
  <c r="K45" i="1"/>
  <c r="F47" i="1"/>
  <c r="F210" i="11" l="1"/>
  <c r="F231" i="11"/>
  <c r="F126" i="11"/>
  <c r="F125" i="11"/>
  <c r="T14" i="9"/>
  <c r="K59" i="1"/>
  <c r="I24" i="9" s="1"/>
  <c r="K70" i="8"/>
  <c r="J24" i="9" s="1"/>
  <c r="K78" i="8"/>
  <c r="U11" i="9" s="1"/>
  <c r="U13" i="9" s="1"/>
  <c r="U14" i="9" s="1"/>
  <c r="K58" i="8"/>
  <c r="F63" i="8"/>
  <c r="J63" i="4"/>
  <c r="B43" i="7" s="1"/>
  <c r="K63" i="4"/>
  <c r="C43" i="7" s="1"/>
  <c r="E52" i="4"/>
  <c r="K51" i="4"/>
  <c r="K49" i="4"/>
  <c r="C35" i="7" s="1"/>
  <c r="D51" i="4"/>
  <c r="J49" i="4"/>
  <c r="B35" i="7" s="1"/>
  <c r="F52" i="1"/>
  <c r="K47" i="1"/>
  <c r="F99" i="11" l="1"/>
  <c r="F104" i="11" s="1"/>
  <c r="F100" i="11"/>
  <c r="F105" i="11" s="1"/>
  <c r="F101" i="11"/>
  <c r="F102" i="11"/>
  <c r="F6" i="11"/>
  <c r="K79" i="8"/>
  <c r="K80" i="8" s="1"/>
  <c r="J25" i="9" s="1"/>
  <c r="J23" i="9" s="1"/>
  <c r="J27" i="9" s="1"/>
  <c r="K63" i="8"/>
  <c r="K71" i="8" s="1"/>
  <c r="K52" i="4"/>
  <c r="E53" i="4"/>
  <c r="K53" i="4" s="1"/>
  <c r="D52" i="4"/>
  <c r="J51" i="4"/>
  <c r="K52" i="1"/>
  <c r="K60" i="1" s="1"/>
  <c r="K68" i="1"/>
  <c r="K69" i="1" s="1"/>
  <c r="I25" i="9" s="1"/>
  <c r="I23" i="9" s="1"/>
  <c r="I27" i="9" s="1"/>
  <c r="I28" i="9" l="1"/>
  <c r="F129" i="11"/>
  <c r="F128" i="11"/>
  <c r="E54" i="4"/>
  <c r="K66" i="4" s="1"/>
  <c r="J52" i="4"/>
  <c r="D53" i="4"/>
  <c r="D54" i="4" s="1"/>
  <c r="J54" i="4" s="1"/>
  <c r="J64" i="4" s="1"/>
  <c r="B37" i="7" s="1"/>
  <c r="K54" i="4"/>
  <c r="K64" i="4" s="1"/>
  <c r="C37" i="7" s="1"/>
  <c r="K67" i="4"/>
  <c r="C44" i="7" s="1"/>
  <c r="C42" i="7" s="1"/>
  <c r="C46" i="7" s="1"/>
  <c r="F236" i="11" l="1"/>
  <c r="F235" i="11"/>
  <c r="F234" i="11" s="1"/>
  <c r="F132" i="11"/>
  <c r="F131" i="11"/>
  <c r="J53" i="4"/>
  <c r="J66" i="4"/>
  <c r="J67" i="4" s="1"/>
  <c r="B44" i="7" s="1"/>
  <c r="B42" i="7" s="1"/>
  <c r="B46" i="7" s="1"/>
  <c r="F230" i="11" l="1"/>
  <c r="F229" i="1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<sst xmlns="http://schemas.openxmlformats.org/spreadsheetml/2006/main" count="4400" uniqueCount="1927">
  <si>
    <t>Industry elasticity of demand</t>
  </si>
  <si>
    <t>Parameter</t>
  </si>
  <si>
    <t>Value</t>
  </si>
  <si>
    <t>Restrictions</t>
  </si>
  <si>
    <t>Must be elastic, and more elastic than industry demand</t>
  </si>
  <si>
    <t>Own price elasticity</t>
  </si>
  <si>
    <t>Between own elasticity and 0</t>
  </si>
  <si>
    <t>Elasticity of substitution between two brands</t>
  </si>
  <si>
    <t>Scenarios</t>
  </si>
  <si>
    <t>Baseline</t>
  </si>
  <si>
    <t>OACT</t>
  </si>
  <si>
    <t>OACTX2</t>
  </si>
  <si>
    <t>Retain Zero</t>
  </si>
  <si>
    <t>Outcome</t>
  </si>
  <si>
    <t>Min</t>
  </si>
  <si>
    <t>Max</t>
  </si>
  <si>
    <t>Mid</t>
  </si>
  <si>
    <t>Maximum rebate rate (limit of zero mgt cost)</t>
  </si>
  <si>
    <t>Sharing parameters consistent with baseline rebate (i.e., sharing parameter is partially identified)</t>
  </si>
  <si>
    <t>Positive but below maximum, which is a function of eta and epsilon (see below)</t>
  </si>
  <si>
    <t>Sharing parameter</t>
  </si>
  <si>
    <t>Baseline rebate rate, average among brands</t>
  </si>
  <si>
    <t>b1</t>
  </si>
  <si>
    <t>b0</t>
  </si>
  <si>
    <t>b2</t>
  </si>
  <si>
    <t>b3</t>
  </si>
  <si>
    <t>Mgt cost parameter supporting the rebate rate</t>
  </si>
  <si>
    <t>Quantity</t>
  </si>
  <si>
    <t>b4</t>
  </si>
  <si>
    <t>Marginal price</t>
  </si>
  <si>
    <t>List price</t>
  </si>
  <si>
    <t>Rebate-inversion coefficients</t>
  </si>
  <si>
    <t>Impact relative to baseline</t>
  </si>
  <si>
    <t>Net price</t>
  </si>
  <si>
    <t>Mgt</t>
  </si>
  <si>
    <t>Total</t>
  </si>
  <si>
    <t>Error processing</t>
  </si>
  <si>
    <t>List of truncated scenarios</t>
  </si>
  <si>
    <t>Number of truncated scenarios</t>
  </si>
  <si>
    <t>Flag for highlighting demand parameters</t>
  </si>
  <si>
    <t>Note: Input-format (orange) cells can be edited to employ alternative assumptions or rename scenarios.</t>
  </si>
  <si>
    <t>Brands</t>
  </si>
  <si>
    <t>Industry effect of brand quantity, with generic offset</t>
  </si>
  <si>
    <t>Generic share of scripts</t>
  </si>
  <si>
    <t>Source</t>
  </si>
  <si>
    <t>https://accessiblemeds.org/sites/default/files/2021-10/AAM-2021-US-Generic-Biosimilar-Medicines-Savings-Report-web.pdf</t>
  </si>
  <si>
    <t>Generics</t>
  </si>
  <si>
    <t>Price</t>
  </si>
  <si>
    <t>Total Quantity</t>
  </si>
  <si>
    <t>Value in the supply chain</t>
  </si>
  <si>
    <t>Impact as percentage of baseline rebates</t>
  </si>
  <si>
    <t>Aggregate rebates</t>
  </si>
  <si>
    <t>Mfr profit</t>
  </si>
  <si>
    <t>Patients and plans</t>
  </si>
  <si>
    <t>Table A1.  Benefit parameters and retention rates by segment</t>
  </si>
  <si>
    <t>Medicare</t>
  </si>
  <si>
    <t>Commercial</t>
  </si>
  <si>
    <t>Entire market</t>
  </si>
  <si>
    <t>(b) Copay share: Nonpharm.</t>
  </si>
  <si>
    <t>(c) Premium subsidy rate: Rx</t>
  </si>
  <si>
    <t>(d) Premium subsidy rate: Nonpharm.</t>
  </si>
  <si>
    <t>(e) Plan retention rate (1.5 yearly)</t>
  </si>
  <si>
    <t>Annual retention rate (1/2 adjustment for attritition to another plan from the same company) applied over 1.5 years.  https://doi.org/10.18553/jmcp.2019.25.5.612</t>
  </si>
  <si>
    <t>(f) Share of Rx plans that are integrated, enrollment weighted</t>
  </si>
  <si>
    <t>beta</t>
  </si>
  <si>
    <t>own share</t>
  </si>
  <si>
    <t>(g) Third-party share of nonpharm. savings</t>
  </si>
  <si>
    <t>= 1-[(b)+(e)*(f)(1-(b))(1-(d))]/[1-(1-(a))(c)]</t>
  </si>
  <si>
    <t>(h) factor for converting quantity impacts</t>
  </si>
  <si>
    <t>H</t>
  </si>
  <si>
    <t>(a) Copay share of net spend: Rx</t>
  </si>
  <si>
    <t>Amounts (2020 NHE Tbl 4, net of rebates)</t>
  </si>
  <si>
    <t>All healthcare</t>
  </si>
  <si>
    <t>Drugs</t>
  </si>
  <si>
    <t>Nondrugs</t>
  </si>
  <si>
    <t>MTR</t>
  </si>
  <si>
    <t>Premiums</t>
  </si>
  <si>
    <t>Employer</t>
  </si>
  <si>
    <t>ACA (at the margin)</t>
  </si>
  <si>
    <t>All other gov (at the margin)</t>
  </si>
  <si>
    <t>NonACA individual</t>
  </si>
  <si>
    <t>Out of pocket</t>
  </si>
  <si>
    <t>AMTR</t>
  </si>
  <si>
    <t>Total premiums</t>
  </si>
  <si>
    <t>Taxes on labor, excluding sales tax</t>
  </si>
  <si>
    <t>Assumed</t>
  </si>
  <si>
    <t>AMTR commercial</t>
  </si>
  <si>
    <t>Integration rate</t>
  </si>
  <si>
    <t>kff "Medicare beneficiaries enrolled in Part D Coverage" 2022</t>
  </si>
  <si>
    <t>Weighted integration rates</t>
  </si>
  <si>
    <t>All</t>
  </si>
  <si>
    <t>Health plan retention rate</t>
  </si>
  <si>
    <t>between 0 and 1.</t>
  </si>
  <si>
    <t>https://www.kff.org/report-section/a-primer-on-medicare-how-is-medicare-financed-and-what-are-medicares-future-financing-challenges/ (Part D, non-LIS members)</t>
  </si>
  <si>
    <t>Converts percentage change in quantity to third-party savings on nonpharmacy medical spending, with the savings expressed as a ratio to net Rx spending.  See Appendix II.</t>
  </si>
  <si>
    <t>Notation from Appendix II</t>
  </si>
  <si>
    <t>Medicare Part D savings on hospital spending</t>
  </si>
  <si>
    <t>Statistic</t>
  </si>
  <si>
    <t>Nonpharmacy savings as a ratio to hospital savings</t>
  </si>
  <si>
    <t>Lichtenberg (2007, p. 488)</t>
  </si>
  <si>
    <t>Part D savings on nondrug spending (delta)</t>
  </si>
  <si>
    <t>Nonnegative</t>
  </si>
  <si>
    <t>Part D impact on Rx utilization (q1/q0)</t>
  </si>
  <si>
    <t>Part D impact on drug utilization</t>
  </si>
  <si>
    <t>Kaestner, Schiman and Alexander (2019; midpoint of their range)</t>
  </si>
  <si>
    <t>Kaestner and Kahn (2012)</t>
  </si>
  <si>
    <t>factor for converting quantity impacts</t>
  </si>
  <si>
    <t>Converts percentage change in quantity to all savings (own and third-party) on nonpharmacy medical spending, with the savings expressed as a ratio to net Rx spending.  See Appendix II.</t>
  </si>
  <si>
    <t>Part D history is used an "experiment" to assess the effect of Rx utilization on nonpharmacy medical spending, even in the commerical segment.</t>
  </si>
  <si>
    <t>Used exclusively for nonpharmacy savings</t>
  </si>
  <si>
    <t>Gerhardt and Arora (2020)</t>
  </si>
  <si>
    <t>Share of hospital revenue that is inpatient</t>
  </si>
  <si>
    <t>2020 National Health Expenditure Accounts, Table 19.</t>
  </si>
  <si>
    <t>Hospital spending, $ billion</t>
  </si>
  <si>
    <t>Retail Rx spending, $ billion</t>
  </si>
  <si>
    <t>Positive</t>
  </si>
  <si>
    <t>Comments</t>
  </si>
  <si>
    <t>Nonpharmacy medical savings from added Rx usage</t>
  </si>
  <si>
    <t>Altarum Prescription Drug Rebate Report, April 2018</t>
  </si>
  <si>
    <t>Medicaid rebate data is not used because it is not a voluntary discount</t>
  </si>
  <si>
    <t>Rebates as a ratio to net Rx spend (including generics)</t>
  </si>
  <si>
    <r>
      <t xml:space="preserve">In Appendix II, the third part share is denoted </t>
    </r>
    <r>
      <rPr>
        <i/>
        <sz val="12"/>
        <color theme="1"/>
        <rFont val="Times New Roman"/>
        <family val="1"/>
        <scheme val="minor"/>
      </rPr>
      <t>b</t>
    </r>
    <r>
      <rPr>
        <sz val="12"/>
        <color theme="1"/>
        <rFont val="Times New Roman"/>
        <family val="2"/>
        <scheme val="minor"/>
      </rPr>
      <t>.  Entire market has small third-party share due to the high Rx subsidy rates (Medicaid, ACA, etc.)</t>
    </r>
  </si>
  <si>
    <t>Agg. out of pocket spend</t>
  </si>
  <si>
    <t>Agg. net expenditure</t>
  </si>
  <si>
    <t>Quantity per brand</t>
  </si>
  <si>
    <t>Aggregate premiums</t>
  </si>
  <si>
    <t>Aggregate Rx premiums</t>
  </si>
  <si>
    <t>Utilization: brands</t>
  </si>
  <si>
    <t>Utilization: generics</t>
  </si>
  <si>
    <t>Price-quantity interaction</t>
  </si>
  <si>
    <t>Rebates shifted to POS</t>
  </si>
  <si>
    <t>Third-party savings</t>
  </si>
  <si>
    <t>Management costs</t>
  </si>
  <si>
    <t>Nonpharm. medical costs</t>
  </si>
  <si>
    <t>Out of pocket as share of gross drug spend</t>
  </si>
  <si>
    <t>Economic parameters are shown in the upper pane.</t>
  </si>
  <si>
    <t>Simulated outcomes are shown in the lower pane, organized by themes that are indicated by color and indentation.</t>
  </si>
  <si>
    <t>Government financing of premiums</t>
  </si>
  <si>
    <t>MDWC due to government financing</t>
  </si>
  <si>
    <t>Used exclusively for external effects</t>
  </si>
  <si>
    <t>Marginal deadweight cost of government spending</t>
  </si>
  <si>
    <t>2019 Economic Report of the President (p. 112)</t>
  </si>
  <si>
    <t>Duration of drug life cycle stages, years</t>
  </si>
  <si>
    <t>Monopoly phase</t>
  </si>
  <si>
    <t>Effective patent length</t>
  </si>
  <si>
    <t>Oligopoly phase</t>
  </si>
  <si>
    <t>Between 0 and 20 years</t>
  </si>
  <si>
    <t>Between 0 and effective patent life</t>
  </si>
  <si>
    <t>Annual discount rate for innovatory cash flows</t>
  </si>
  <si>
    <t>Schacht and Thomas (2012)</t>
  </si>
  <si>
    <t>Revenue</t>
  </si>
  <si>
    <t>Demand at List price</t>
  </si>
  <si>
    <t>Outcomes for monopolists offering volume discounts</t>
  </si>
  <si>
    <t>APV</t>
  </si>
  <si>
    <t>APV factors</t>
  </si>
  <si>
    <t>Generic phase</t>
  </si>
  <si>
    <t>Generic earnings factor (vs oligopoly)</t>
  </si>
  <si>
    <t>Mulligan (2021)</t>
  </si>
  <si>
    <t>Value of drug-innovation impact</t>
  </si>
  <si>
    <t>DWC (innovation) of redistribution</t>
  </si>
  <si>
    <t>Mulligan (2022)</t>
  </si>
  <si>
    <t>Baseline discounting, pharmacy and manufacturer</t>
  </si>
  <si>
    <t>Maximum discounting (limit of zero mgt cost)</t>
  </si>
  <si>
    <t>Sharing parameters consistent with baseline discounting (i.e., sharing parameter is partially identified)</t>
  </si>
  <si>
    <t>Price*Quantity</t>
  </si>
  <si>
    <t>Elasticity of substitution between two pharmacies</t>
  </si>
  <si>
    <t>Sood et al (2017)</t>
  </si>
  <si>
    <t>Pharmacy discount rate</t>
  </si>
  <si>
    <t>Average of 2019 and 2020.  87 FR 27834, 2021 Trustees report Table IV.B8, https://www.medpac.gov/wp-content/uploads/2021/10/DIR-Slides-MedPAC-29-Sept-2022.pdf, https://www.kff.org/medicare/issue-brief/relatively-few-drugs-account-for-a-large-share-of-medicare-prescription-drug-spending/</t>
  </si>
  <si>
    <t>Part D</t>
  </si>
  <si>
    <t>PBM Transparency Act</t>
  </si>
  <si>
    <t>Quantity per firm</t>
  </si>
  <si>
    <t>Retail pharmacy services</t>
  </si>
  <si>
    <t>https://www.drugchannels.net/2022/03/the-top-15-us-pharmacies-of-2021-market.html</t>
  </si>
  <si>
    <t>Rx revenue share of retail pharmacies</t>
  </si>
  <si>
    <t>Agg. net expenditure on retail pharmacy</t>
  </si>
  <si>
    <t>Rx dispenses</t>
  </si>
  <si>
    <t>Quantity (brand &amp; generic)</t>
  </si>
  <si>
    <t>Net manufacturer &amp; PBM price</t>
  </si>
  <si>
    <t>Net manufacturer &amp; PBM spend</t>
  </si>
  <si>
    <t>Discounting share of gross pharmacy costs</t>
  </si>
  <si>
    <t>Net</t>
  </si>
  <si>
    <t>Gross</t>
  </si>
  <si>
    <t>Agg. Rx Spending</t>
  </si>
  <si>
    <t>Pharmacy DIR</t>
  </si>
  <si>
    <t>Manufacturer DIR</t>
  </si>
  <si>
    <t>Impact as percentage of baseline pharmacy DIR</t>
  </si>
  <si>
    <t>Pharmacy profit</t>
  </si>
  <si>
    <t>Value of pharmacy contracts</t>
  </si>
  <si>
    <t>Manufacturer profits</t>
  </si>
  <si>
    <t>Marginal brand price</t>
  </si>
  <si>
    <t>Brand manufacturer revenue</t>
  </si>
  <si>
    <t>General background information for calibrating the industry model</t>
  </si>
  <si>
    <t>Spending by type and sponsor</t>
  </si>
  <si>
    <t>Background information for calibrating external effects and nonpharmacy savings</t>
  </si>
  <si>
    <t>Pharmacy Benefit Management Regulation Simulator</t>
  </si>
  <si>
    <t>Companion to Mulligan (2023): Restrict the Middleman? Quantitative models of PBM regulations and their consequences</t>
  </si>
  <si>
    <t>The simulated effects of any one regulation varies according to the segment to which it applies (e.g., Part D).</t>
  </si>
  <si>
    <t>The simulated effects also depend on assumptions ("scenarios") as to the degree to which PBMs can adapt to the regulation and still obtain the discounts that their clients (plans) want.</t>
  </si>
  <si>
    <t>Part D rebate rule</t>
  </si>
  <si>
    <t>Worksheet Tab</t>
  </si>
  <si>
    <t>Pharmacy</t>
  </si>
  <si>
    <t>Tables organizing results</t>
  </si>
  <si>
    <t>Background information</t>
  </si>
  <si>
    <t>BenefitParams</t>
  </si>
  <si>
    <t>General background</t>
  </si>
  <si>
    <t>Specialized background</t>
  </si>
  <si>
    <t>BackgroundInfo1</t>
  </si>
  <si>
    <t>BackgroundInfo2</t>
  </si>
  <si>
    <t>Pharmacy DIR (CMS Rule and PBM Transparency Act)</t>
  </si>
  <si>
    <t>Simulators by type of regulation</t>
  </si>
  <si>
    <t>Scenario</t>
  </si>
  <si>
    <t>Regulated as % of baseline</t>
  </si>
  <si>
    <t>Rx quantity</t>
  </si>
  <si>
    <t>$ billions per year</t>
  </si>
  <si>
    <t>Baseline pharmacy DIR, $ billion/yr</t>
  </si>
  <si>
    <t>87 FR 27834; average of 2019 and 2020.</t>
  </si>
  <si>
    <t>Increased premiums</t>
  </si>
  <si>
    <t>Patients &amp; plans</t>
  </si>
  <si>
    <t>Manufacturers</t>
  </si>
  <si>
    <t>Pharmacy losses (- is profit)</t>
  </si>
  <si>
    <t>External effects</t>
  </si>
  <si>
    <t>3rd-party nondrug health costs</t>
  </si>
  <si>
    <t>Tax distortions</t>
  </si>
  <si>
    <t>Foregone drug innovation</t>
  </si>
  <si>
    <t>The table shows the effects of the rule on health plan premiums; net costs to patients, plans, manufacturers, and pharmacies; and external effects.  Subcategories are shown in normal font.</t>
  </si>
  <si>
    <t>Note: Quantities and prices refer to the entire Part D market (brands and generics).  Table entry dollar amounts are rounded to the nearest $100 million.</t>
  </si>
  <si>
    <t>The table shows the effects of the DIR restrictions on health plan premiums; net costs to patients, plans, manufacturers, and pharmacies; and external effects.  Subcategories are shown in normal font.</t>
  </si>
  <si>
    <t>Net costs in the supply chain</t>
  </si>
  <si>
    <t>Net cost = supply chain + external effects</t>
  </si>
  <si>
    <t>Tables34</t>
  </si>
  <si>
    <t>Table 3.  Consequences of the PBM Transparency Act's Pharmacy DIR Restrictions</t>
  </si>
  <si>
    <t>Table 4.  Consequences of the Part D Pharmacy DIR Rule</t>
  </si>
  <si>
    <t>Note: Quantities and prices refer to the entire prescription market (brands and generics).  Table entry dollar amounts are rounded to the nearest $100 million.</t>
  </si>
  <si>
    <r>
      <rPr>
        <b/>
        <u/>
        <sz val="12"/>
        <color theme="1"/>
        <rFont val="Times New Roman (Body)"/>
      </rPr>
      <t>Manufacturer Rebate</t>
    </r>
    <r>
      <rPr>
        <b/>
        <sz val="12"/>
        <color theme="1"/>
        <rFont val="Times New Roman"/>
        <family val="1"/>
        <scheme val="minor"/>
      </rPr>
      <t xml:space="preserve"> Regulation Simulator: Part D Segment</t>
    </r>
  </si>
  <si>
    <r>
      <rPr>
        <b/>
        <u/>
        <sz val="12"/>
        <color theme="1"/>
        <rFont val="Times New Roman (Body)"/>
      </rPr>
      <t>Pharmacy-discount</t>
    </r>
    <r>
      <rPr>
        <b/>
        <sz val="12"/>
        <color theme="1"/>
        <rFont val="Times New Roman"/>
        <family val="1"/>
        <scheme val="minor"/>
      </rPr>
      <t xml:space="preserve"> Regulation Simulator</t>
    </r>
  </si>
  <si>
    <t>Pharmacy net revenue/net industry</t>
  </si>
  <si>
    <t>Baseline pharmacy discounts, share of industry net revenue</t>
  </si>
  <si>
    <t>Insulin Act rebate regulations</t>
  </si>
  <si>
    <t>Industry elasticity of demand (insulin)</t>
  </si>
  <si>
    <t>Own price elasticity (insulin mfr)</t>
  </si>
  <si>
    <t>Must be elastic, and more elastic than insulin-industry demand</t>
  </si>
  <si>
    <t>$ billion per year</t>
  </si>
  <si>
    <t>Plan &amp; patient lost value</t>
  </si>
  <si>
    <t>Manufacturer losses (- is profit)</t>
  </si>
  <si>
    <t>Insulin Act</t>
  </si>
  <si>
    <t>Retain-Zero Scenario</t>
  </si>
  <si>
    <t>OACTX2 Scenario</t>
  </si>
  <si>
    <t>OACT Scenario</t>
  </si>
  <si>
    <t>Table 1b.  Rebate Rules: Regulatory Costs</t>
  </si>
  <si>
    <t>% of baseline premium [a]</t>
  </si>
  <si>
    <t>% of baseline rebate amount</t>
  </si>
  <si>
    <r>
      <rPr>
        <u/>
        <sz val="12"/>
        <color theme="1"/>
        <rFont val="Times New Roman (Body)"/>
      </rPr>
      <t>Notes</t>
    </r>
    <r>
      <rPr>
        <sz val="12"/>
        <color theme="1"/>
        <rFont val="Times New Roman"/>
        <family val="2"/>
        <scheme val="minor"/>
      </rPr>
      <t>: Rebate rates include rebates at the point of sale.  Each scenario is based on a different assumption about the extent that rebate rules reduce manufacturer rebates as a consequence of redistributing them across the supply chain.</t>
    </r>
  </si>
  <si>
    <t>Added medical costs</t>
  </si>
  <si>
    <t>Added management costs</t>
  </si>
  <si>
    <t>Regulated</t>
  </si>
  <si>
    <t>Utilization-price interaction</t>
  </si>
  <si>
    <t>Utilization impact: generics</t>
  </si>
  <si>
    <t>Net price effect</t>
  </si>
  <si>
    <t>Utilization impact: brands</t>
  </si>
  <si>
    <t>Net price impact: brands</t>
  </si>
  <si>
    <t>Premium impact component</t>
  </si>
  <si>
    <t>Quantity effect</t>
  </si>
  <si>
    <t>Impact on drug-plan premiums, expressed as percentages of baseline rebate amounts</t>
  </si>
  <si>
    <t>Table 2.  Rebate Rules affect Health Insurance Premiums</t>
  </si>
  <si>
    <t>Table 1a.  Rebate Rules: Effects on Market Performance</t>
  </si>
  <si>
    <r>
      <rPr>
        <u/>
        <sz val="12"/>
        <color theme="1"/>
        <rFont val="Times New Roman (Body)"/>
      </rPr>
      <t>Notes</t>
    </r>
    <r>
      <rPr>
        <sz val="12"/>
        <color theme="1"/>
        <rFont val="Times New Roman"/>
        <family val="2"/>
        <scheme val="minor"/>
      </rPr>
      <t>: Each scenario is based on a different assumption about the extent that rebate rules reduce manufacturer rebates as a consequence of redistributing them across the supply chain.  Part D net loss in $ billion is calculated for a $31 billion baseline rebate.</t>
    </r>
  </si>
  <si>
    <t>Tables12</t>
  </si>
  <si>
    <t>InsulinAct</t>
  </si>
  <si>
    <r>
      <rPr>
        <u/>
        <sz val="12"/>
        <color theme="1"/>
        <rFont val="Times New Roman (Body)"/>
      </rPr>
      <t>Note</t>
    </r>
    <r>
      <rPr>
        <sz val="12"/>
        <color theme="1"/>
        <rFont val="Times New Roman"/>
        <family val="2"/>
        <scheme val="minor"/>
      </rPr>
      <t>: [a] for the purposes of Insulin Act, this row refers to the part of the premium financing insulin claims.</t>
    </r>
  </si>
  <si>
    <t>Out of pocket as share of net drug spend</t>
  </si>
  <si>
    <t>Rebate rate (brands)</t>
  </si>
  <si>
    <t>Total net costs</t>
  </si>
  <si>
    <t>Combined premium impact</t>
  </si>
  <si>
    <t>Generic share of insulin</t>
  </si>
  <si>
    <t>https://www.americanactionforum.org/insight/insulin-prices-an-update/ https://www.kff.org/report-section/insulin-costs-and-coverage-in-medicare-part-d-tables/</t>
  </si>
  <si>
    <t>Full rebate</t>
  </si>
  <si>
    <t>Linear-demand part</t>
  </si>
  <si>
    <t>Positive but less than one.</t>
  </si>
  <si>
    <r>
      <rPr>
        <b/>
        <u/>
        <sz val="12"/>
        <color theme="1"/>
        <rFont val="Times New Roman (Body)"/>
      </rPr>
      <t>Manufacturer Rebate</t>
    </r>
    <r>
      <rPr>
        <b/>
        <sz val="12"/>
        <color theme="1"/>
        <rFont val="Times New Roman"/>
        <family val="1"/>
        <scheme val="minor"/>
      </rPr>
      <t xml:space="preserve"> Regulation Simulator: Insulin Act</t>
    </r>
    <r>
      <rPr>
        <sz val="12"/>
        <color theme="1"/>
        <rFont val="Times New Roman"/>
        <family val="1"/>
        <scheme val="minor"/>
      </rPr>
      <t>.  The results also include effects of list-price and cost-sharing provisions in the Insulin Act.</t>
    </r>
  </si>
  <si>
    <t>Net-price-inversion coefficients</t>
  </si>
  <si>
    <t>target net price</t>
  </si>
  <si>
    <t>sq1</t>
  </si>
  <si>
    <t>sq2</t>
  </si>
  <si>
    <t>sq3</t>
  </si>
  <si>
    <t>sq4</t>
  </si>
  <si>
    <t>sq5</t>
  </si>
  <si>
    <t>sq6</t>
  </si>
  <si>
    <t>z term</t>
  </si>
  <si>
    <t>denom</t>
  </si>
  <si>
    <t>term</t>
  </si>
  <si>
    <t>Out of pocket as share of gross drug spend, insulin</t>
  </si>
  <si>
    <t>https://www.kff.org/medicare/issue-brief/how-much-does-medicare-spend-on-insulin/</t>
  </si>
  <si>
    <t>Assumed that Medicare's use of pharmacy services is disproportionate to the rest of the market.</t>
  </si>
  <si>
    <t>Table 2.  Rebate Rules Affect Health Insurance Premiums</t>
  </si>
  <si>
    <t>Table 5.  Competition and the Net Costs of Disclosure Requirements</t>
  </si>
  <si>
    <t>Table5</t>
  </si>
  <si>
    <t>In the supply chain</t>
  </si>
  <si>
    <t>External</t>
  </si>
  <si>
    <t>Pharmacies</t>
  </si>
  <si>
    <t>PBMs</t>
  </si>
  <si>
    <t>Type of Regulatory Net Cost</t>
  </si>
  <si>
    <t>NA</t>
  </si>
  <si>
    <t>Addendum: Rebate or Discount Rates</t>
  </si>
  <si>
    <t>Sources: Table 1b scaled to industry rebates, Table 4, Section III.  The external costs in this table exclude any tax distortion from rebates or discounts shifted to the point of sale, which are part of Table 4.</t>
  </si>
  <si>
    <t>The table shows the net costs of three types of reduced competition that may be the result of disclosure requirements.</t>
  </si>
  <si>
    <t>Regulatory impact on competition among:</t>
  </si>
  <si>
    <t>With disclosure</t>
  </si>
  <si>
    <t>Mulligan (2022) The Value of Pharmacy Benefit Management</t>
  </si>
  <si>
    <t>Share of the surplus from benefit management that would be lost if there were a monopoly PBM</t>
  </si>
  <si>
    <t>old excel version?</t>
  </si>
  <si>
    <t>Net costs in $ billions per year, entire market</t>
  </si>
  <si>
    <r>
      <t xml:space="preserve">Three types of regulations are simulated: </t>
    </r>
    <r>
      <rPr>
        <b/>
        <sz val="12"/>
        <color theme="1"/>
        <rFont val="Times New Roman"/>
        <family val="1"/>
        <scheme val="minor"/>
      </rPr>
      <t>manufacturer rebate rules</t>
    </r>
    <r>
      <rPr>
        <sz val="12"/>
        <color theme="1"/>
        <rFont val="Times New Roman"/>
        <family val="2"/>
        <scheme val="minor"/>
      </rPr>
      <t xml:space="preserve">, regulation of </t>
    </r>
    <r>
      <rPr>
        <b/>
        <sz val="12"/>
        <color theme="1"/>
        <rFont val="Times New Roman"/>
        <family val="1"/>
        <scheme val="minor"/>
      </rPr>
      <t>pharmacy DIR</t>
    </r>
    <r>
      <rPr>
        <sz val="12"/>
        <color theme="1"/>
        <rFont val="Times New Roman"/>
        <family val="2"/>
        <scheme val="minor"/>
      </rPr>
      <t xml:space="preserve"> (direct and indirect renumeration), and contract </t>
    </r>
    <r>
      <rPr>
        <b/>
        <sz val="12"/>
        <color theme="1"/>
        <rFont val="Times New Roman"/>
        <family val="1"/>
        <scheme val="minor"/>
      </rPr>
      <t>disclosure requirements</t>
    </r>
    <r>
      <rPr>
        <sz val="12"/>
        <color theme="1"/>
        <rFont val="Times New Roman"/>
        <family val="2"/>
        <scheme val="minor"/>
      </rPr>
      <t>.</t>
    </r>
  </si>
  <si>
    <t>Retail pharmacies</t>
  </si>
  <si>
    <t>Workers and savers</t>
  </si>
  <si>
    <t>Future patients</t>
  </si>
  <si>
    <t>Payers of nondrug health costs</t>
  </si>
  <si>
    <t>Costs (negative is a benefit)</t>
  </si>
  <si>
    <t>Monetary and opportunity costs expressed as a percentage of baseline rebate amounts</t>
  </si>
  <si>
    <t>Prose linked to Excel calculations</t>
  </si>
  <si>
    <t>Category</t>
  </si>
  <si>
    <t>seq</t>
  </si>
  <si>
    <t>Txt before</t>
  </si>
  <si>
    <t>Numword</t>
  </si>
  <si>
    <t>Number</t>
  </si>
  <si>
    <t>Arithmetic</t>
  </si>
  <si>
    <t>Txt after</t>
  </si>
  <si>
    <t>Status</t>
  </si>
  <si>
    <t>Comment</t>
  </si>
  <si>
    <t>Part of a larger word</t>
  </si>
  <si>
    <t>once we recognize that pbm regulations are often business-to-business price regulations, this high regulatory risk-reward ratio is an illustration of a general principle articulated in the office of management and budget’s (2003) circular a</t>
  </si>
  <si>
    <t>-4</t>
  </si>
  <si>
    <t xml:space="preserve"> that imposing price regulations would, “in light of both economic theory and actual experience,” require a “particularly demanding burden of proof.”</t>
  </si>
  <si>
    <t>Other</t>
  </si>
  <si>
    <t xml:space="preserve">more novel is that rebate rules can increase net brand prices by up to </t>
  </si>
  <si>
    <t>52</t>
  </si>
  <si>
    <t xml:space="preserve"> percent and drug-plan premiums up to 31 percent.</t>
  </si>
  <si>
    <t xml:space="preserve">more novel is that rebate rules can increase net brand prices by up to 52 percent and drug-plan premiums up to </t>
  </si>
  <si>
    <t>31</t>
  </si>
  <si>
    <t xml:space="preserve"> percent.</t>
  </si>
  <si>
    <t xml:space="preserve">rebate rules may reduce drug utilization (including generics) up to </t>
  </si>
  <si>
    <t>11</t>
  </si>
  <si>
    <t>2</t>
  </si>
  <si>
    <t xml:space="preserve"> percent for drugs generally.</t>
  </si>
  <si>
    <t>third</t>
  </si>
  <si>
    <t xml:space="preserve">these are some of the regulatory costs imposed on patients, plans, and third parties that together are more than </t>
  </si>
  <si>
    <t xml:space="preserve"> times the benefit to pharmacies in the form of greater profits.</t>
  </si>
  <si>
    <t>two</t>
  </si>
  <si>
    <t xml:space="preserve">the impact of two rebate rules are estimated: the rule finalized in late </t>
  </si>
  <si>
    <t>2020</t>
  </si>
  <si>
    <t xml:space="preserve"> by the department of health and human services (hhs) and the part of the proposed insulin act that would prohibit manufacturer rebates paid to plans and pbms on insulin products.</t>
  </si>
  <si>
    <t xml:space="preserve">the effects of regulating pharmacy dir are estimated in section ii, particularly for the proposed pbm transparency act (ii.d) and the </t>
  </si>
  <si>
    <t>2022</t>
  </si>
  <si>
    <t xml:space="preserve"> cms rule (ii.e).</t>
  </si>
  <si>
    <t>omb (1992) recommends a metb of 0.25, but this does not include state and local taxes, implicit taxes (which have increased since a</t>
  </si>
  <si>
    <t>-94</t>
  </si>
  <si>
    <t xml:space="preserve"> was published), or markups in the economy.</t>
  </si>
  <si>
    <t xml:space="preserve">the annual net costs of the potential anticompetitive effects of disclosure rules are likely in the </t>
  </si>
  <si>
    <t>ten</t>
  </si>
  <si>
    <t>s of billions of dollars.</t>
  </si>
  <si>
    <t xml:space="preserve">this presentation allows easy back-of-the envelope cost estimates for rebate rules that are not specifically examined in this paper, or to identical rebate rules that are implemented in a jurisdiction or time period that differs from the u.s. circa </t>
  </si>
  <si>
    <t xml:space="preserve"> in terms of market size or rebate amounts.</t>
  </si>
  <si>
    <t>zero</t>
  </si>
  <si>
    <t>.</t>
  </si>
  <si>
    <t>one</t>
  </si>
  <si>
    <t>Sentence starter</t>
  </si>
  <si>
    <t xml:space="preserve"> specific rebate rules are the part d rule and the insulin act.</t>
  </si>
  <si>
    <t xml:space="preserve">the part d rule was proposed by the department of health and human services in </t>
  </si>
  <si>
    <t>2019.</t>
  </si>
  <si>
    <t>a related finding is that patent expiration does little to increase market-level sales (lakdawalla &amp;amp; philipson, 2012), which in terms of my figure 1 further suggests that q1 is well above q</t>
  </si>
  <si>
    <t>0</t>
  </si>
  <si>
    <t xml:space="preserve"> and further supports my conclusion that pbm services significantly increase utilization even when generics are not available.</t>
  </si>
  <si>
    <t xml:space="preserve">in the results that follow, this net utilization effect of discount redistribution is taken as </t>
  </si>
  <si>
    <t>Figure reference</t>
  </si>
  <si>
    <t xml:space="preserve">in terms of the market-level demand analysis, this corresponds to a leftward shift in the marginal management cost curve as shown in figure </t>
  </si>
  <si>
    <t>1.</t>
  </si>
  <si>
    <t>Complete</t>
  </si>
  <si>
    <t xml:space="preserve">figure </t>
  </si>
  <si>
    <t>1</t>
  </si>
  <si>
    <t>, whose algebraic representation is provided in appendix i, is the core of the regulatory-impact model.</t>
  </si>
  <si>
    <t xml:space="preserve">the brand-brand competition embedded in figure </t>
  </si>
  <si>
    <t xml:space="preserve"> also permits estimation of the effect of regulation on net prices and manufacturer profits, which would increase in response to higher marginal-management costs as long as the equilibrium point is not shifted beyond the monopoly point on the demand curve.</t>
  </si>
  <si>
    <t xml:space="preserve">additional outcomes can be assessed by combining figure </t>
  </si>
  <si>
    <t xml:space="preserve"> with additional information.</t>
  </si>
  <si>
    <t>mulligan (</t>
  </si>
  <si>
    <t>) shows how to derive effects of drug innovation by using different versions of figure 1 to model the (negative) effect of benefit-management costs on the profits of monopoly brands and the (potentially positive) effect of the profits of manufacturers in markets with brand-brand competition.</t>
  </si>
  <si>
    <t xml:space="preserve">mulligan (2022) shows how to derive effects of drug innovation by using different versions of figure </t>
  </si>
  <si>
    <t xml:space="preserve"> to model the (negative) effect of benefit-management costs on the profits of monopoly brands and the (potentially positive) effect of the profits of manufacturers in markets with brand-brand competition.</t>
  </si>
  <si>
    <t>if the marginal cost curve shifted enough leftward, no benefit management would occur, which is the consequence examined by mulligan (</t>
  </si>
  <si>
    <t>).</t>
  </si>
  <si>
    <t xml:space="preserve">that is, the amount that regulation shifts figure </t>
  </si>
  <si>
    <t>’s management cost curve must be assessed.</t>
  </si>
  <si>
    <t xml:space="preserve">this paper shows results for </t>
  </si>
  <si>
    <t>three</t>
  </si>
  <si>
    <t xml:space="preserve"> approaches to rebate rules, referred to as “management-productivity scenarios.”</t>
  </si>
  <si>
    <t xml:space="preserve">specifically, the rule would reduce discount rates by </t>
  </si>
  <si>
    <t>15</t>
  </si>
  <si>
    <t xml:space="preserve"> percent as a consequence of shifting them from plans and pbms to the point of sale and potentially to lower list prices.</t>
  </si>
  <si>
    <t xml:space="preserve">that is, under the proposed rule, benefit management would result in plans and patients together receiving manufacturer discounts equal to </t>
  </si>
  <si>
    <t>85</t>
  </si>
  <si>
    <t xml:space="preserve"> percent of what the rebates were in the baseline.</t>
  </si>
  <si>
    <t xml:space="preserve">in figure </t>
  </si>
  <si>
    <t>’s demand model, there is one and only one marginal-cost-curve shift corresponding to oact’s result, which is the shift assumed throughout the oact scenario.</t>
  </si>
  <si>
    <t xml:space="preserve">for example, if the baseline contracts had (i) discounts in the form of </t>
  </si>
  <si>
    <t>30</t>
  </si>
  <si>
    <t xml:space="preserve"> percent rebates retained by plans and pbms and (ii) baseline cost sharing were 10 percent of gross drug costs, then the retain zero scenario assumes that a rebate rule cuts discounting by a factor of three (from 30 to 10).</t>
  </si>
  <si>
    <t xml:space="preserve">for example, if the baseline contracts had (i) discounts in the form of 30 percent rebates retained by plans and pbms and (ii) baseline cost sharing were </t>
  </si>
  <si>
    <t>10</t>
  </si>
  <si>
    <t xml:space="preserve"> percent of gross drug costs, then the retain zero scenario assumes that a rebate rule cuts discounting by a factor of three (from 30 to 10).</t>
  </si>
  <si>
    <t xml:space="preserve">for example, if the baseline contracts had (i) discounts in the form of 30 percent rebates retained by plans and pbms and (ii) baseline cost sharing were 10 percent of gross drug costs, then the retain zero scenario assumes that a rebate rule cuts discounting by a factor of </t>
  </si>
  <si>
    <t xml:space="preserve"> (from 30 to 10).</t>
  </si>
  <si>
    <t xml:space="preserve">for example, if the baseline contracts had (i) discounts in the form of 30 percent rebates retained by plans and pbms and (ii) baseline cost sharing were 10 percent of gross drug costs, then the retain zero scenario assumes that a rebate rule cuts discounting by a factor of three (from </t>
  </si>
  <si>
    <t xml:space="preserve"> to 10).</t>
  </si>
  <si>
    <t xml:space="preserve">for example, if the baseline contracts had (i) discounts in the form of 30 percent rebates retained by plans and pbms and (ii) baseline cost sharing were 10 percent of gross drug costs, then the retain zero scenario assumes that a rebate rule cuts discounting by a factor of three (from 30 to </t>
  </si>
  <si>
    <t>’s demand model, there is one and only one marginal-cost-curve shift corresponding to retain zero, which is different from the oact-scenario’s shift.</t>
  </si>
  <si>
    <t xml:space="preserve">a </t>
  </si>
  <si>
    <t xml:space="preserve"> scenario, also relevant for section iii’s competition analysis, is oactx2.</t>
  </si>
  <si>
    <t>of course, the uninsured population is different from the insured, but studies of changes in drug coverage for a given population find that insurance coverage by itself increases drug utilization (lichtenberg, 2007; kaestner, schiman, &amp;amp; alexander, 2019), which in terms of figure 1 suggests that q</t>
  </si>
  <si>
    <t xml:space="preserve"> &amp;lt; q1.</t>
  </si>
  <si>
    <t xml:space="preserve">the scenario doubles the discounting reduction assumed by the oact scenario, but still allows plans and pbms to retain manufacturer rebates as long as they obtain other manufacturer discounts that reduce cost-sharing to </t>
  </si>
  <si>
    <t>’s demand model, there is one and only one marginal-cost-curve shift corresponding to oactx2, which is somewhere in between the oact shift and the retain zero shift.</t>
  </si>
  <si>
    <t>this finding is represented in figure a1 by placing q1 (drug utilization among the elderly with medicare part d but without the pbm regulations examined in this paper) 35 percent above q</t>
  </si>
  <si>
    <t xml:space="preserve"> (drug utilization among the elderly before medicare part d).</t>
  </si>
  <si>
    <t>because kaestner et al do not attempt to allocate the savings between patients, plan, and third parties, the dollar equivalent of the 9.7 percent nonpharmacy savings is represented by the entire area of figure a1’s shape abcd, which is approximately (q1q</t>
  </si>
  <si>
    <t>)h.</t>
  </si>
  <si>
    <t xml:space="preserve">all </t>
  </si>
  <si>
    <t xml:space="preserve"> scenarios for the hhs rebate rule take the list and net price effects as the outcome of the altered competitive equilibrium (figure 1 and appendix i).</t>
  </si>
  <si>
    <t xml:space="preserve">all three scenarios for the hhs rebate rule take the list and net price effects as the outcome of the altered competitive equilibrium (figure </t>
  </si>
  <si>
    <t xml:space="preserve"> and appendix i).</t>
  </si>
  <si>
    <t>where  denotes the nonpharmacy savings (resulting from changing utilization from q</t>
  </si>
  <si>
    <t xml:space="preserve"> to q1), expressed as a ratio to baseline inpatient hospital spending.</t>
  </si>
  <si>
    <t xml:space="preserve">in order to reflect the proposed insulin act’s additional regulation of list prices, the oact (oactx2) scenario assumes that the </t>
  </si>
  <si>
    <t xml:space="preserve"> percent (30 percent) of baseline rebates is added one-for-one to net prices, respectively.</t>
  </si>
  <si>
    <t>in order to reflect the proposed insulin act’s additional regulation of list prices, the oact (oactx2) scenario assumes that the 15 percent (</t>
  </si>
  <si>
    <t xml:space="preserve"> percent) of baseline rebates is added one-for-one to net prices, respectively.</t>
  </si>
  <si>
    <t xml:space="preserve">in order to reflect the proposed insulin act’s additional regulation of list prices, the oact (oactx2) scenario assumes that the 15 percent (30 percent) of baseline rebates is added </t>
  </si>
  <si>
    <t>-for-one to net prices, respectively.</t>
  </si>
  <si>
    <t>in order to reflect the proposed insulin act’s additional regulation of list prices, the oact (oactx2) scenario assumes that the 15 percent (30 percent) of baseline rebates is added one-for-</t>
  </si>
  <si>
    <t xml:space="preserve"> to net prices, respectively.</t>
  </si>
  <si>
    <t xml:space="preserve">another quantitative difference between the regulatory impact analysis of the hhs rebate rule and the proposed insulin act is the high baseline rebate rates for insulin, which are about </t>
  </si>
  <si>
    <t>75</t>
  </si>
  <si>
    <t xml:space="preserve"> percent as compared to about 30 percent for part d brand drugs generally.</t>
  </si>
  <si>
    <t xml:space="preserve">another quantitative difference between the regulatory impact analysis of the hhs rebate rule and the proposed insulin act is the high baseline rebate rates for insulin, which are about 75 percent as compared to about </t>
  </si>
  <si>
    <t xml:space="preserve"> percent for part d brand drugs generally.</t>
  </si>
  <si>
    <t xml:space="preserve">equilibrium rebate rates approaching </t>
  </si>
  <si>
    <t>100</t>
  </si>
  <si>
    <t xml:space="preserve"> percent are possible in the model of figure 1, but only if the demand curve is sufficiently convex at the list price.</t>
  </si>
  <si>
    <t xml:space="preserve">equilibrium rebate rates approaching 100 percent are possible in the model of figure </t>
  </si>
  <si>
    <t>, but only if the demand curve is sufficiently convex at the list price.</t>
  </si>
  <si>
    <t xml:space="preserve">indeed, all </t>
  </si>
  <si>
    <t xml:space="preserve"> have occurred simultaneously in insulin markets.</t>
  </si>
  <si>
    <t>Table reference</t>
  </si>
  <si>
    <t xml:space="preserve">tables </t>
  </si>
  <si>
    <t>a and 1b show the quantitative results with each scenario as its own pair of columns.</t>
  </si>
  <si>
    <t xml:space="preserve">tables 1a and </t>
  </si>
  <si>
    <t>b show the quantitative results with each scenario as its own pair of columns.</t>
  </si>
  <si>
    <t xml:space="preserve">results vary within scenario depending which of </t>
  </si>
  <si>
    <t xml:space="preserve"> versions of the rebate rules are considered: the part d rule or the insulin act.</t>
  </si>
  <si>
    <t xml:space="preserve">i assume that (i) a seller of insulin has somewhat different market power than the average branded drug in the part d market, (ii) demand at the industry level is </t>
  </si>
  <si>
    <t>half</t>
  </si>
  <si>
    <t xml:space="preserve"> as price sensitive for insulin than for the average drug, and (iii) the marginal costs of managing insulin benefits are potentially different than for the average drug in the part d market.</t>
  </si>
  <si>
    <t xml:space="preserve">based on expenditure data, i assume that baseline patient cost sharing is </t>
  </si>
  <si>
    <t>10.1</t>
  </si>
  <si>
    <t xml:space="preserve"> percent (of gross spending) in part d and 8.0 percent for insulin.</t>
  </si>
  <si>
    <t xml:space="preserve">based on expenditure data, i assume that baseline patient cost sharing is 10.1 percent (of gross spending) in part d and </t>
  </si>
  <si>
    <t>8.0</t>
  </si>
  <si>
    <t xml:space="preserve"> percent for insulin.</t>
  </si>
  <si>
    <t xml:space="preserve">table </t>
  </si>
  <si>
    <t>a begins by showing market performance: prices and quantities (utilization).</t>
  </si>
  <si>
    <t xml:space="preserve">under the oact scenario, the part d rebate rule would reduce brand utilization by </t>
  </si>
  <si>
    <t>5</t>
  </si>
  <si>
    <t xml:space="preserve"> percent and overall utilization about 0.4 percent due to some shifting to generics, as discussed further below.</t>
  </si>
  <si>
    <t xml:space="preserve">under the oact scenario, the part d rebate rule would reduce brand utilization by 5 percent and overall utilization about </t>
  </si>
  <si>
    <t>0.4</t>
  </si>
  <si>
    <t xml:space="preserve"> percent due to some shifting to generics, as discussed further below.</t>
  </si>
  <si>
    <t xml:space="preserve">even though insulin demand is less price sensitive than the average drug, the brand utilization and net price effects are somewhat greater for the insulin act (under any of the </t>
  </si>
  <si>
    <t xml:space="preserve"> scenarios) because the baseline rebates are greater for insulin than for the average part d branded drug.</t>
  </si>
  <si>
    <t>the second equality in (18) uses the values for  (0.097), and q1/q</t>
  </si>
  <si>
    <t xml:space="preserve"> (1.35) calibrated as above.</t>
  </si>
  <si>
    <t>a related finding is that patent expiration does little to increase market-level sales (lakdawalla &amp;amp; philipson, 2012), which in terms of my figure 1 further suggests that q</t>
  </si>
  <si>
    <t xml:space="preserve"> is well above q0 and further supports my conclusion that pbm services significantly increase utilization even when generics are not available.</t>
  </si>
  <si>
    <t>b estimates various costs and benefits that follow from the fact that rebate rules affect market performance.</t>
  </si>
  <si>
    <t xml:space="preserve">the first row shows aggregate surplus, including the additional profits accruing to manufacturers, which (like table </t>
  </si>
  <si>
    <t>a’s quantity effects) are estimated directly from the model represented in figure 1.</t>
  </si>
  <si>
    <t xml:space="preserve">the first row shows aggregate surplus, including the additional profits accruing to manufacturers, which (like table 1a’s quantity effects) are estimated directly from the model represented in figure </t>
  </si>
  <si>
    <t xml:space="preserve">the aggregate surplus falls in the oact scenario by an amount equal to </t>
  </si>
  <si>
    <t>7.4</t>
  </si>
  <si>
    <t xml:space="preserve"> (3.5) percent of the baseline rebate amount for the hhs (insulin act) rules, respectively.</t>
  </si>
  <si>
    <t>the aggregate surplus falls in the oact scenario by an amount equal to 7.4 (</t>
  </si>
  <si>
    <t>3.5</t>
  </si>
  <si>
    <t>) percent of the baseline rebate amount for the hhs (insulin act) rules, respectively.</t>
  </si>
  <si>
    <t xml:space="preserve">in other words, the costs of the rule to plans and patients exceeds the benefit to manufacturers, which is between </t>
  </si>
  <si>
    <t>17.6</t>
  </si>
  <si>
    <t xml:space="preserve"> and 21.6 percent of the baseline rebates.</t>
  </si>
  <si>
    <t xml:space="preserve">in other words, the costs of the rule to plans and patients exceeds the benefit to manufacturers, which is between 17.6 and </t>
  </si>
  <si>
    <t>21.6</t>
  </si>
  <si>
    <t xml:space="preserve"> percent of the baseline rebates.</t>
  </si>
  <si>
    <t>3</t>
  </si>
  <si>
    <t>where a</t>
  </si>
  <si>
    <t>, a2, , and  are constant demand parameters satisfying:</t>
  </si>
  <si>
    <t>at marginal values of /(+1), each oligopolist’s demand curve has own price elasticity  &amp;lt; 1 and cross-price elasticity    &amp;gt; 0.  the restrictions on a</t>
  </si>
  <si>
    <t xml:space="preserve"> and a2 imposed in (4) require that generic demand would be zero if both brands price at marginal cost.</t>
  </si>
  <si>
    <t>part d net loss in $ billion is calculated for a $</t>
  </si>
  <si>
    <t xml:space="preserve"> billion baseline rebate.</t>
  </si>
  <si>
    <t xml:space="preserve">based on the findings of kaestner et al, i estimate that rebate rules increase nonpharmaceutical health-plan costs by about </t>
  </si>
  <si>
    <t>% of the baseline rebate amount or about $2 billion annually for a rebate rule that covered all drug segments and payers.</t>
  </si>
  <si>
    <t>based on the findings of kaestner et al, i estimate that rebate rules increase nonpharmaceutical health-plan costs by about 1% of the baseline rebate amount or about $</t>
  </si>
  <si>
    <t xml:space="preserve"> billion annually for a rebate rule that covered all drug segments and payers.</t>
  </si>
  <si>
    <t>that value is reflected in figure a</t>
  </si>
  <si>
    <t xml:space="preserve"> as the gap h between total marginal value to patients and plans (dashed curve) and the other sources of rx value (black curve).</t>
  </si>
  <si>
    <t xml:space="preserve">in order to avoid double-counting, only the second component of the nondrug medical costs is shown as a distinct category in table </t>
  </si>
  <si>
    <t>b.</t>
  </si>
  <si>
    <t>therefore, figure a</t>
  </si>
  <si>
    <t xml:space="preserve"> also shows the marginal value to all participants (dashed curve).</t>
  </si>
  <si>
    <t xml:space="preserve"> scenario.</t>
  </si>
  <si>
    <t xml:space="preserve"> summarizes the results.</t>
  </si>
  <si>
    <t xml:space="preserve">this row reflects the net price change shown in table </t>
  </si>
  <si>
    <t>a, except that table 1a divides the change by the baseline net price whereas table 2 divides by the baseline rebate amount.</t>
  </si>
  <si>
    <t xml:space="preserve">this row reflects the net price change shown in table 1a, except that table </t>
  </si>
  <si>
    <t>a divides the change by the baseline net price whereas table 2 divides by the baseline rebate amount.</t>
  </si>
  <si>
    <t xml:space="preserve">this row reflects the net price change shown in table 1a, except that table 1a divides the change by the baseline net price whereas table </t>
  </si>
  <si>
    <t xml:space="preserve"> divides by the baseline rebate amount.</t>
  </si>
  <si>
    <t xml:space="preserve">partly offsetting the higher net prices is less utilization, as shown in the second and </t>
  </si>
  <si>
    <t xml:space="preserve"> rows of table 2.</t>
  </si>
  <si>
    <t xml:space="preserve">partly offsetting the higher net prices is less utilization, as shown in the second and third rows of table </t>
  </si>
  <si>
    <t>2.</t>
  </si>
  <si>
    <t xml:space="preserve">notice from the addenda row of table </t>
  </si>
  <si>
    <t xml:space="preserve"> that i assume that plans use all of the cost sharing to absorb manufacturer discounts: cost sharing is zero under the regulations.</t>
  </si>
  <si>
    <t xml:space="preserve">notice from the addenda row of table 2 that i assume that plans use all of the cost sharing to absorb manufacturer discounts: cost sharing is </t>
  </si>
  <si>
    <t xml:space="preserve"> under the regulations.</t>
  </si>
  <si>
    <t xml:space="preserve">arguably </t>
  </si>
  <si>
    <t xml:space="preserve"> cost sharing would particularly hinder benefit management because patients would have no skin in the game.</t>
  </si>
  <si>
    <t xml:space="preserve">plans might therefore choose to forego some discounting in order to maintain some positive level of cost sharing, in which case the effects shown in tables </t>
  </si>
  <si>
    <t>a, 1b, and 2 would be even greater.</t>
  </si>
  <si>
    <t xml:space="preserve">plans might therefore choose to forego some discounting in order to maintain some positive level of cost sharing, in which case the effects shown in tables 1a, </t>
  </si>
  <si>
    <t>b, and 2 would be even greater.</t>
  </si>
  <si>
    <t xml:space="preserve">plans might therefore choose to forego some discounting in order to maintain some positive level of cost sharing, in which case the effects shown in tables 1a, 1b, and </t>
  </si>
  <si>
    <t xml:space="preserve"> would be even greater.</t>
  </si>
  <si>
    <t xml:space="preserve">these additions to premiums are shown in table </t>
  </si>
  <si>
    <t>’s sixth and seventh rows.</t>
  </si>
  <si>
    <t xml:space="preserve">these additions to premiums are shown in table 2’s </t>
  </si>
  <si>
    <t>six</t>
  </si>
  <si>
    <t>th and seventh rows.</t>
  </si>
  <si>
    <t xml:space="preserve">these additions to premiums are shown in table 2’s sixth and </t>
  </si>
  <si>
    <t>seven</t>
  </si>
  <si>
    <t>th rows.</t>
  </si>
  <si>
    <t xml:space="preserve">the </t>
  </si>
  <si>
    <t>th row exceeds the corresponding row in table 1b because table 2 counts the entire effect on nonpharmacy medical costs whereas table 1b partitions that amount between plan/patient value and third-party value.</t>
  </si>
  <si>
    <t xml:space="preserve">the seventh row exceeds the corresponding row in table </t>
  </si>
  <si>
    <t>b because table 2 counts the entire effect on nonpharmacy medical costs whereas table 1b partitions that amount between plan/patient value and third-party value.</t>
  </si>
  <si>
    <t xml:space="preserve">the seventh row exceeds the corresponding row in table 1b because table </t>
  </si>
  <si>
    <t xml:space="preserve"> counts the entire effect on nonpharmacy medical costs whereas table 1b partitions that amount between plan/patient value and third-party value.</t>
  </si>
  <si>
    <t xml:space="preserve">the seventh row exceeds the corresponding row in table 1b because table 2 counts the entire effect on nonpharmacy medical costs whereas table </t>
  </si>
  <si>
    <t>b partitions that amount between plan/patient value and third-party value.</t>
  </si>
  <si>
    <t xml:space="preserve">the seventh row exceeds the corresponding row in table 1b because table 2 counts the entire effect on nonpharmacy medical costs whereas table 1b partitions that amount between plan/patient value and </t>
  </si>
  <si>
    <t>-party value.</t>
  </si>
  <si>
    <t xml:space="preserve">overall, premiums increase by a dollar amount that is about </t>
  </si>
  <si>
    <t>-106 percent of the dollar amount of the baseline rebates; see the first “combined premium impact” row.</t>
  </si>
  <si>
    <t>overall, premiums increase by a dollar amount that is about 52</t>
  </si>
  <si>
    <t xml:space="preserve"> percent of the dollar amount of the baseline rebates; see the first “combined premium impact” row.</t>
  </si>
  <si>
    <t xml:space="preserve">expressed as a percentage change in drug-plan premiums from baseline to regulated, that is a </t>
  </si>
  <si>
    <t>17</t>
  </si>
  <si>
    <t>-34 percent increase.</t>
  </si>
  <si>
    <t>expressed as a percentage change in drug-plan premiums from baseline to regulated, that is a 17</t>
  </si>
  <si>
    <t xml:space="preserve"> percent increase.</t>
  </si>
  <si>
    <t>for a population whose prescription utilization is supported by $</t>
  </si>
  <si>
    <t xml:space="preserve"> billion in rebates in the baseline, the part d rebate rule would add $16-33 billion to premiums of the health plans in which they participate, depending on the scenario.</t>
  </si>
  <si>
    <t>for a population whose prescription utilization is supported by $31 billion in rebates in the baseline, the part d rebate rule would add $</t>
  </si>
  <si>
    <t>16</t>
  </si>
  <si>
    <t>-33 billion to premiums of the health plans in which they participate, depending on the scenario.</t>
  </si>
  <si>
    <t>for a population whose prescription utilization is supported by $31 billion in rebates in the baseline, the part d rebate rule would add $16</t>
  </si>
  <si>
    <t xml:space="preserve"> billion to premiums of the health plans in which they participate, depending on the scenario.</t>
  </si>
  <si>
    <t>the department of health and human services (</t>
  </si>
  <si>
    <t>84</t>
  </si>
  <si>
    <t xml:space="preserve"> fr 2360) and medpac (2017, pp. table 14-9) assert that rebate transactions are used by manufacturers, plans and pbms to increase total government spending on medicare part d because rebates purportedly increase the share of patient costs that are out-of-pocket rather than premium.</t>
  </si>
  <si>
    <t xml:space="preserve">the department of health and human services (84 fr </t>
  </si>
  <si>
    <t>2360</t>
  </si>
  <si>
    <t>) and medpac (2017, pp. table 14-9) assert that rebate transactions are used by manufacturers, plans and pbms to increase total government spending on medicare part d because rebates purportedly increase the share of patient costs that are out-of-pocket rather than premium.</t>
  </si>
  <si>
    <t>the department of health and human services (84 fr 2360) and medpac (</t>
  </si>
  <si>
    <t>2017</t>
  </si>
  <si>
    <t>, pp. table 14-9) assert that rebate transactions are used by manufacturers, plans and pbms to increase total government spending on medicare part d because rebates purportedly increase the share of patient costs that are out-of-pocket rather than premium.</t>
  </si>
  <si>
    <t xml:space="preserve">the department of health and human services (84 fr 2360) and medpac (2017, pp. table </t>
  </si>
  <si>
    <t>14</t>
  </si>
  <si>
    <t>-9) assert that rebate transactions are used by manufacturers, plans and pbms to increase total government spending on medicare part d because rebates purportedly increase the share of patient costs that are out-of-pocket rather than premium.</t>
  </si>
  <si>
    <t>the department of health and human services (84 fr 2360) and medpac (2017, pp. table 14</t>
  </si>
  <si>
    <t>-9</t>
  </si>
  <si>
    <t>) assert that rebate transactions are used by manufacturers, plans and pbms to increase total government spending on medicare part d because rebates purportedly increase the share of patient costs that are out-of-pocket rather than premium.</t>
  </si>
  <si>
    <t>this finding is represented in figure a</t>
  </si>
  <si>
    <t xml:space="preserve"> by placing q1 (drug utilization among the elderly with medicare part d but without the pbm regulations examined in this paper) 35 percent above q0 (drug utilization among the elderly before medicare part d).</t>
  </si>
  <si>
    <t xml:space="preserve">however, medicare part d regulates copayment rates, especially for low income subsidy (lis) participants and the subset of high-cost enrollees (those in the catastrophic phase of their drug benefit) whose plans receive government reinsurance subsidies equal to </t>
  </si>
  <si>
    <t>80</t>
  </si>
  <si>
    <t xml:space="preserve"> percent of their drug spending at list price.</t>
  </si>
  <si>
    <t xml:space="preserve">reducing the list price and rebate </t>
  </si>
  <si>
    <t>-for-one can reduce medicare spending on reinsurance, but it also likely reduces refunds paid to medicare by the plan under part d reconciliation rules.</t>
  </si>
  <si>
    <t>reducing the list price and rebate one-for-</t>
  </si>
  <si>
    <t xml:space="preserve"> can reduce medicare spending on reinsurance, but it also likely reduces refunds paid to medicare by the plan under part d reconciliation rules.</t>
  </si>
  <si>
    <t>social security’s office of the chief actuary (</t>
  </si>
  <si>
    <t xml:space="preserve"> fr 2360) as well as the congressional budget office (2019) concluded that the net of these two additional effects the rebate rule on medicare part d spending is dwarfed by the premium-increasing effect of the rebate rule.</t>
  </si>
  <si>
    <t xml:space="preserve">social security’s office of the chief actuary (84 fr </t>
  </si>
  <si>
    <t>) as well as the congressional budget office (2019) concluded that the net of these two additional effects the rebate rule on medicare part d spending is dwarfed by the premium-increasing effect of the rebate rule.</t>
  </si>
  <si>
    <t>social security’s office of the chief actuary (84 fr 2360) as well as the congressional budget office (</t>
  </si>
  <si>
    <t>2019</t>
  </si>
  <si>
    <t>) concluded that the net of these two additional effects the rebate rule on medicare part d spending is dwarfed by the premium-increasing effect of the rebate rule.</t>
  </si>
  <si>
    <t xml:space="preserve">social security’s office of the chief actuary (84 fr 2360) as well as the congressional budget office (2019) concluded that the net of these </t>
  </si>
  <si>
    <t xml:space="preserve"> additional effects the rebate rule on medicare part d spending is dwarfed by the premium-increasing effect of the rebate rule.</t>
  </si>
  <si>
    <t xml:space="preserve">because health insurance premiums are heavily subsidized, the premium increase estimated in table </t>
  </si>
  <si>
    <t xml:space="preserve"> requires the federal government to tax more, spend less, and/or borrow more, which has additional effects on the broader economy.</t>
  </si>
  <si>
    <t xml:space="preserve">this external cost of rebate rules is shown in the “tax distortion” row of table </t>
  </si>
  <si>
    <t xml:space="preserve">by reducing the incentives of plans and pbms to encourage adherence and proper drug utilization, rebate rules have </t>
  </si>
  <si>
    <t xml:space="preserve"> effects on the incentives of manufacturers to bring unique new drugs to market.</t>
  </si>
  <si>
    <t>this finding is represented in figure a1 by placing q</t>
  </si>
  <si>
    <t xml:space="preserve"> (drug utilization among the elderly with medicare part d but without the pbm regulations examined in this paper) 35 percent above q0 (drug utilization among the elderly before medicare part d).</t>
  </si>
  <si>
    <t>because kaestner et al do not attempt to allocate the savings between patients, plan, and third parties, the dollar equivalent of the 9.7 percent nonpharmacy savings is represented by the entire area of figure a</t>
  </si>
  <si>
    <t>’s shape abcd, which is approximately (q1q0)h.</t>
  </si>
  <si>
    <t xml:space="preserve">i estimate that the social cost of this reduced innovation is </t>
  </si>
  <si>
    <t xml:space="preserve"> to 10 percent of the baseline rebates, as shown in the table 1b’s “foregone drug innovation” row.</t>
  </si>
  <si>
    <t xml:space="preserve">i estimate that the social cost of this reduced innovation is 2 to </t>
  </si>
  <si>
    <t xml:space="preserve"> percent of the baseline rebates, as shown in the table 1b’s “foregone drug innovation” row.</t>
  </si>
  <si>
    <t xml:space="preserve">i estimate that the social cost of this reduced innovation is 2 to 10 percent of the baseline rebates, as shown in the table </t>
  </si>
  <si>
    <t>b’s “foregone drug innovation” row.</t>
  </si>
  <si>
    <t>because kaestner et al do not attempt to allocate the savings between patients, plan, and third parties, the dollar equivalent of the 9.7 percent nonpharmacy savings is represented by the entire area of figure a1’s shape abcd, which is approximately (q</t>
  </si>
  <si>
    <t>q0)h.</t>
  </si>
  <si>
    <t xml:space="preserve">overall, the net loss of value ranges from </t>
  </si>
  <si>
    <t xml:space="preserve"> to 78% of the baseline rebates.</t>
  </si>
  <si>
    <t xml:space="preserve">overall, the net loss of value ranges from 30 to </t>
  </si>
  <si>
    <t>78</t>
  </si>
  <si>
    <t>% of the baseline rebates.</t>
  </si>
  <si>
    <t>in a market where those rebates were $</t>
  </si>
  <si>
    <t xml:space="preserve"> billion per year, the part d rebate rule would impose an annual net cost of $9 to $24 billion, depending on the scenario.</t>
  </si>
  <si>
    <t>in a market where those rebates were $31 billion per year, the part d rebate rule would impose an annual net cost of $</t>
  </si>
  <si>
    <t>9</t>
  </si>
  <si>
    <t xml:space="preserve"> to $24 billion, depending on the scenario.</t>
  </si>
  <si>
    <t>in a market where those rebates were $31 billion per year, the part d rebate rule would impose an annual net cost of $9 to $</t>
  </si>
  <si>
    <t>24</t>
  </si>
  <si>
    <t xml:space="preserve"> billion, depending on the scenario.</t>
  </si>
  <si>
    <t>where  denotes the nonpharmacy savings (resulting from changing utilization from q0 to q</t>
  </si>
  <si>
    <t>), expressed as a ratio to baseline inpatient hospital spending.</t>
  </si>
  <si>
    <t xml:space="preserve">the combined losses to patients, plans, and the wider economy is greater than the net loss shown at the bottom of table </t>
  </si>
  <si>
    <t xml:space="preserve">therefore, my estimates of the overall utilization effect of rebate rules (table </t>
  </si>
  <si>
    <t>a’s second row) are less than the corresponding effect on brand utilization (first row).</t>
  </si>
  <si>
    <t xml:space="preserve">generic scripts have reached </t>
  </si>
  <si>
    <t>90</t>
  </si>
  <si>
    <t xml:space="preserve"> percent of the u.s. market, as compared to less than 60 percent in europe, with much of the remaining 10 percent being branded drugs with no generic substitute available.</t>
  </si>
  <si>
    <t xml:space="preserve">generic scripts have reached 90 percent of the u.s. market, as compared to less than </t>
  </si>
  <si>
    <t>60</t>
  </si>
  <si>
    <t xml:space="preserve"> percent in europe, with much of the remaining 10 percent being branded drugs with no generic substitute available.</t>
  </si>
  <si>
    <t xml:space="preserve">generic scripts have reached 90 percent of the u.s. market, as compared to less than 60 percent in europe, with much of the remaining </t>
  </si>
  <si>
    <t xml:space="preserve"> percent being branded drugs with no generic substitute available.</t>
  </si>
  <si>
    <t xml:space="preserve">indeed, some economists have concluded that the marginal price paid by insurance plans is identical to the generic price, even in markets where generics do not compete (lakdawalla &amp;amp; sood, </t>
  </si>
  <si>
    <t>2013</t>
  </si>
  <si>
    <t>the second equality in (18) uses the values for  (0.097), and q</t>
  </si>
  <si>
    <t>/q0 (1.35) calibrated as above.</t>
  </si>
  <si>
    <t xml:space="preserve">especially, studies find that the generic substitution that occurs after patent expiration results in no discernible increase in overall utilization (lakdawalla &amp;amp; philipson, </t>
  </si>
  <si>
    <t>2012</t>
  </si>
  <si>
    <t>as arad et al (</t>
  </si>
  <si>
    <t>2021</t>
  </si>
  <si>
    <t>) describe, “payers are effectively incentivized by rebates, and the threat of losing them, to keep the more expensive drugs on their formularies.”</t>
  </si>
  <si>
    <t xml:space="preserve">the federal trade commission has heard from stakeholders concerns about rebate walls, issuing a “report on rebate walls” in </t>
  </si>
  <si>
    <t xml:space="preserve"> and a “policy statement on rebates and fees” in 2022.</t>
  </si>
  <si>
    <t xml:space="preserve">the federal trade commission has heard from stakeholders concerns about rebate walls, issuing a “report on rebate walls” in 2021 and a “policy statement on rebates and fees” in </t>
  </si>
  <si>
    <t>2022.</t>
  </si>
  <si>
    <t xml:space="preserve">consider figure </t>
  </si>
  <si>
    <t xml:space="preserve"> again.</t>
  </si>
  <si>
    <t>we find the plan’s marginal cost m of utilization by differentiating net drug spending (</t>
  </si>
  <si>
    <t>) with respect to q:</t>
  </si>
  <si>
    <t>volume discounting not only means that the net price [</t>
  </si>
  <si>
    <t>r(q)]l is less than the list price, but that the marginal cost m is less than the net price.</t>
  </si>
  <si>
    <t>this is exactly what supports levels of utilization that are near (or, as in the lakdawalla and sood (</t>
  </si>
  <si>
    <t>) model, equal) to the competitive level and greater market surplus than would occur without volume discounts.</t>
  </si>
  <si>
    <t xml:space="preserve">this is exactly what happens in the model presented in this paper, e.g., figure </t>
  </si>
  <si>
    <t xml:space="preserve">effects on competition among manufacturers are seen in table </t>
  </si>
  <si>
    <t>a, where rebate regulation increases net brand prices while it reduces drug utilization and rebates.</t>
  </si>
  <si>
    <t xml:space="preserve">this section focuses on a </t>
  </si>
  <si>
    <t xml:space="preserve"> dimension of competition that may be affected by regulation: competition among pbms.</t>
  </si>
  <si>
    <t>figure a</t>
  </si>
  <si>
    <t xml:space="preserve"> shows how to apply these findings to any regulation that shifts changes the equilibrium quantity from q1 to q2 due to changes in incentives and performance along the prescription supply chain.</t>
  </si>
  <si>
    <t>figure a1 shows how to apply these findings to any regulation that shifts changes the equilibrium quantity from q</t>
  </si>
  <si>
    <t xml:space="preserve"> to q2 due to changes in incentives and performance along the prescription supply chain.</t>
  </si>
  <si>
    <t>in other words, equation (19) is my estimate of the cost to third parties (in the form of additional nonpharmacy medical costs) of reducing rx utilization from q</t>
  </si>
  <si>
    <t xml:space="preserve"> to q2.</t>
  </si>
  <si>
    <t xml:space="preserve">even if regulations succeeded at enhancing pbm competition without the costs estimated in tables </t>
  </si>
  <si>
    <t>a, 1b, 2, and the tables that follow in section ii, the net regulatory gains through the competition channel are at best small because pbm net revenues are dwarfed by the value they deliver clients and the industry overall.</t>
  </si>
  <si>
    <t xml:space="preserve">even if regulations succeeded at enhancing pbm competition without the costs estimated in tables 1a, </t>
  </si>
  <si>
    <t>b, 2, and the tables that follow in section ii, the net regulatory gains through the competition channel are at best small because pbm net revenues are dwarfed by the value they deliver clients and the industry overall.</t>
  </si>
  <si>
    <t xml:space="preserve">even if regulations succeeded at enhancing pbm competition without the costs estimated in tables 1a, 1b, </t>
  </si>
  <si>
    <t>, and the tables that follow in section ii, the net regulatory gains through the competition channel are at best small because pbm net revenues are dwarfed by the value they deliver clients and the industry overall.</t>
  </si>
  <si>
    <t>the annual costs of pbms are about $</t>
  </si>
  <si>
    <t>22</t>
  </si>
  <si>
    <t xml:space="preserve"> billion, of which less than $9 billion is profit (sood, shih, van nuys, &amp;amp; goldman, 2017).</t>
  </si>
  <si>
    <t xml:space="preserve"> billion is profit (sood, shih, van nuys, &amp;amp; goldman, 2017).</t>
  </si>
  <si>
    <t>because much of the profit of pbms is a competitive return on the capital needed to manage benefits, any public policy that succeeded in enhancing competition among pbms would at best be reducing annual profits by $</t>
  </si>
  <si>
    <t xml:space="preserve"> or $2 billion.</t>
  </si>
  <si>
    <t>because much of the profit of pbms is a competitive return on the capital needed to manage benefits, any public policy that succeeded in enhancing competition among pbms would at best be reducing annual profits by $1 or $</t>
  </si>
  <si>
    <t xml:space="preserve"> billion.</t>
  </si>
  <si>
    <t xml:space="preserve">measured as a share of the industry surplus from competitive benefit management, the deadweight loss from monopoly pricing of benefit management is between </t>
  </si>
  <si>
    <t>/4 and 5/12.</t>
  </si>
  <si>
    <t>measured as a share of the industry surplus from competitive benefit management, the deadweight loss from monopoly pricing of benefit management is between 1/</t>
  </si>
  <si>
    <t>4</t>
  </si>
  <si>
    <t xml:space="preserve"> and 5/12.</t>
  </si>
  <si>
    <t xml:space="preserve">measured as a share of the industry surplus from competitive benefit management, the deadweight loss from monopoly pricing of benefit management is between 1/4 and </t>
  </si>
  <si>
    <t>/12.</t>
  </si>
  <si>
    <t>measured as a share of the industry surplus from competitive benefit management, the deadweight loss from monopoly pricing of benefit management is between 1/4 and 5/</t>
  </si>
  <si>
    <t>12.</t>
  </si>
  <si>
    <t>with baseline benefit management creating surplus of $</t>
  </si>
  <si>
    <t>92</t>
  </si>
  <si>
    <t xml:space="preserve"> billion per year in the industry plus another $53 billion of external effects (mulligan, 2022), chilling pbm competition by itself would have a net cost of up to $36-60 billion.</t>
  </si>
  <si>
    <t>with baseline benefit management creating surplus of $92 billion per year in the industry plus another $</t>
  </si>
  <si>
    <t>53</t>
  </si>
  <si>
    <t xml:space="preserve"> billion of external effects (mulligan, 2022), chilling pbm competition by itself would have a net cost of up to $36-60 billion.</t>
  </si>
  <si>
    <t xml:space="preserve">with baseline benefit management creating surplus of $92 billion per year in the industry plus another $53 billion of external effects (mulligan, </t>
  </si>
  <si>
    <t>), chilling pbm competition by itself would have a net cost of up to $36-60 billion.</t>
  </si>
  <si>
    <t>with baseline benefit management creating surplus of $92 billion per year in the industry plus another $53 billion of external effects (mulligan, 2022), chilling pbm competition by itself would have a net cost of up to $</t>
  </si>
  <si>
    <t>36</t>
  </si>
  <si>
    <t>-60 billion.</t>
  </si>
  <si>
    <t>with baseline benefit management creating surplus of $92 billion per year in the industry plus another $53 billion of external effects (mulligan, 2022), chilling pbm competition by itself would have a net cost of up to $36</t>
  </si>
  <si>
    <t>-60</t>
  </si>
  <si>
    <t>equation (19) essentially (i) rescales the kaestner, schiman and alexander (2019) estimate to fit the change from q</t>
  </si>
  <si>
    <t xml:space="preserve"> to q2 rather than the 35 percent increase in their study and (ii) isolates the part of those costs falling on third parties.</t>
  </si>
  <si>
    <t xml:space="preserve">the economics of the pharmacy part of pbm services is similar to the drug-manufacturer part illustrated in figure </t>
  </si>
  <si>
    <t xml:space="preserve">the contracts financially incentivize pharmacies for dispensing less-expensive generics, achieving adherence goals, and otherwise aligning with the plan’s objectives (mattingly &amp;amp; bai, </t>
  </si>
  <si>
    <t>the values of b and q2/q</t>
  </si>
  <si>
    <t xml:space="preserve"> vary depending on the rx segment being regulated.</t>
  </si>
  <si>
    <t>the quantity change q2/q</t>
  </si>
  <si>
    <t xml:space="preserve"> comes from figure 1 and related analysis, as shown in the main text.</t>
  </si>
  <si>
    <t xml:space="preserve">in may of </t>
  </si>
  <si>
    <t>, the centers for medicare and medicaid services (cms) issued a final rule, to take effect january 1, 2024, requiring pharmacy dir on medicare part d transactions to be reflected in the retail price that is the basis for determining patient cost sharing (87 fr 27704).</t>
  </si>
  <si>
    <t xml:space="preserve">in may of 2022, the centers for medicare and medicaid services (cms) issued a final rule, to take effect january </t>
  </si>
  <si>
    <t>, 2024, requiring pharmacy dir on medicare part d transactions to be reflected in the retail price that is the basis for determining patient cost sharing (87 fr 27704).</t>
  </si>
  <si>
    <t xml:space="preserve">in may of 2022, the centers for medicare and medicaid services (cms) issued a final rule, to take effect january 1, </t>
  </si>
  <si>
    <t>2024</t>
  </si>
  <si>
    <t>, requiring pharmacy dir on medicare part d transactions to be reflected in the retail price that is the basis for determining patient cost sharing (87 fr 27704).</t>
  </si>
  <si>
    <t>in may of 2022, the centers for medicare and medicaid services (cms) issued a final rule, to take effect january 1, 2024, requiring pharmacy dir on medicare part d transactions to be reflected in the retail price that is the basis for determining patient cost sharing (</t>
  </si>
  <si>
    <t>87</t>
  </si>
  <si>
    <t xml:space="preserve"> fr 27704).</t>
  </si>
  <si>
    <t xml:space="preserve">in may of 2022, the centers for medicare and medicaid services (cms) issued a final rule, to take effect january 1, 2024, requiring pharmacy dir on medicare part d transactions to be reflected in the retail price that is the basis for determining patient cost sharing (87 fr </t>
  </si>
  <si>
    <t>27704</t>
  </si>
  <si>
    <t xml:space="preserve">the pbm transparency act of </t>
  </si>
  <si>
    <t>2023</t>
  </si>
  <si>
    <t xml:space="preserve"> is a bill introduced in the u.s. senate that would apply to all segments of the prescription drug market.</t>
  </si>
  <si>
    <t>Section reference</t>
  </si>
  <si>
    <t xml:space="preserve">its section </t>
  </si>
  <si>
    <t xml:space="preserve"> gives pbms two compliance options: one option requiring pbms to publicly disclose their remuneration and prohibiting them from retaining any of the discounts paid by manufacturers and pharmacies and another option prohibiting (among other things) pharmacy dir that is obtained “arbitrarily, unfairly, or deceptively.”</t>
  </si>
  <si>
    <t xml:space="preserve">its section 2 gives pbms </t>
  </si>
  <si>
    <t xml:space="preserve"> compliance options: one option requiring pbms to publicly disclose their remuneration and prohibiting them from retaining any of the discounts paid by manufacturers and pharmacies and another option prohibiting (among other things) pharmacy dir that is obtained “arbitrarily, unfairly, or deceptively.”</t>
  </si>
  <si>
    <t xml:space="preserve">its section 2 gives pbms two compliance options: </t>
  </si>
  <si>
    <t xml:space="preserve"> option requiring pbms to publicly disclose their remuneration and prohibiting them from retaining any of the discounts paid by manufacturers and pharmacies and another option prohibiting (among other things) pharmacy dir that is obtained “arbitrarily, unfairly, or deceptively.”</t>
  </si>
  <si>
    <t>rows (a) through (f) of table a</t>
  </si>
  <si>
    <t xml:space="preserve"> show estimates of the components of the third-party share b of nonpharmacy savings.</t>
  </si>
  <si>
    <t xml:space="preserve">in the results that follow, this net utilization effect of discount redistribution is assumed to be </t>
  </si>
  <si>
    <t xml:space="preserve"> (a conservative assumption, as explained in appendix iv).</t>
  </si>
  <si>
    <t xml:space="preserve">the quantitative analysis of both pharmacy-dir regulations is represented in figure </t>
  </si>
  <si>
    <t xml:space="preserve"> and appendix v, which have the same economic and algebraic structure as figure 1 and appendix i except that the former refer to negotiations with retail pharmacies over discounting and execution of retail pharmacy services rather than negotiations with drug manufacturers.</t>
  </si>
  <si>
    <t xml:space="preserve">the quantitative analysis of both pharmacy-dir regulations is represented in figure 2 and appendix v, which have the same economic and algebraic structure as figure </t>
  </si>
  <si>
    <t xml:space="preserve"> and appendix i except that the former refer to negotiations with retail pharmacies over discounting and execution of retail pharmacy services rather than negotiations with drug manufacturers.</t>
  </si>
  <si>
    <t xml:space="preserve">drug utilization is affected because the marginal cost of pharmacy services is </t>
  </si>
  <si>
    <t xml:space="preserve"> of the components of the marginal cost of prescription drugs.</t>
  </si>
  <si>
    <t>table 1b multiplies the row (h) of table a</t>
  </si>
  <si>
    <t xml:space="preserve"> by the “entire market” quantity change from table 1a.</t>
  </si>
  <si>
    <t xml:space="preserve">based on the </t>
  </si>
  <si>
    <t xml:space="preserve"> and 2020 plan years, i estimate that pharmacy discounts are about 30 percent of the list price of pharmacy services.</t>
  </si>
  <si>
    <t xml:space="preserve">based on the 2019 and </t>
  </si>
  <si>
    <t xml:space="preserve"> plan years, i estimate that pharmacy discounts are about 30 percent of the list price of pharmacy services.</t>
  </si>
  <si>
    <t xml:space="preserve">based on the 2019 and 2020 plan years, i estimate that pharmacy discounts are about </t>
  </si>
  <si>
    <t xml:space="preserve"> percent of the list price of pharmacy services.</t>
  </si>
  <si>
    <t xml:space="preserve"> percent discount rate indicates values for the slopes of industry- and firm-level demands for pharmacy services (see appendix v), which are used to simulate market outcomes for regulations that reduce pharmacy discounts.</t>
  </si>
  <si>
    <t xml:space="preserve">the pbm transparency act would impose </t>
  </si>
  <si>
    <t xml:space="preserve"> alternate compliance options, one of which explicitly prohibits pharmacy dir if it is “arbitrarily, unfairly, or deceptively” obtained by pbms.  presumably pbms would choose the compliance option that is better for their business.</t>
  </si>
  <si>
    <t xml:space="preserve">the pbm transparency act would impose two alternate compliance options, </t>
  </si>
  <si>
    <t xml:space="preserve"> of which explicitly prohibits pharmacy dir if it is “arbitrarily, unfairly, or deceptively” obtained by pbms.  presumably pbms would choose the compliance option that is better for their business.</t>
  </si>
  <si>
    <t>however, the dollar amount of discounts shifted from plans and pbms to cost sharing in the part d segment is less under the act’s dir provision than under the hhs rebate rule both because part d (and presumably also the commercial segment) has less pharmacy discounts than manufacturer rebates in the baseline ($</t>
  </si>
  <si>
    <t xml:space="preserve"> billion annually compared to about $31 billion).</t>
  </si>
  <si>
    <t>however, the dollar amount of discounts shifted from plans and pbms to cost sharing in the part d segment is less under the act’s dir provision than under the hhs rebate rule both because part d (and presumably also the commercial segment) has less pharmacy discounts than manufacturer rebates in the baseline ($9 billion annually compared to about $</t>
  </si>
  <si>
    <t xml:space="preserve"> billion).</t>
  </si>
  <si>
    <t xml:space="preserve">i assume that passing all pharmacy dir to the patient at the point of sale would (i) be a safe harbor for pbms and (ii) be feasible in that even the baseline dir is less than patient cost sharing: </t>
  </si>
  <si>
    <t xml:space="preserve"> could be fully substituted for the other without negative cost sharing.</t>
  </si>
  <si>
    <t xml:space="preserve">oact concluded that a medicare part d rebate rule requiring that rebates be paid at the point of sale would interfere with benefit management enough to reduce discount rates by </t>
  </si>
  <si>
    <t xml:space="preserve"> percent as a consequence of shifting them from plans and pbms to the point of sale.</t>
  </si>
  <si>
    <t xml:space="preserve">that is, under the act’s dir provision, benefit management would result in plans and patients together receiving pharmacy discounts equal to </t>
  </si>
  <si>
    <t xml:space="preserve"> percent of what the pharmacy discounts were in the baseline.</t>
  </si>
  <si>
    <t>’s demand model, there is one and only one marginal-cost-curve shift corresponding to oact’s result, which is the shift assumed throughout my “oact scenario” for dir regulation.</t>
  </si>
  <si>
    <t>’s row (h), rescaled by the ratio 4.2 of industry net spend (including generics) to rebates.</t>
  </si>
  <si>
    <t xml:space="preserve"> shows the results, assuming that the baseline pharmacy dir is $16.2 billion per year, including the commercial and medicaid segments.</t>
  </si>
  <si>
    <t>table 3 shows the results, assuming that the baseline pharmacy dir is $</t>
  </si>
  <si>
    <t>16.2</t>
  </si>
  <si>
    <t xml:space="preserve"> billion per year, including the commercial and medicaid segments.</t>
  </si>
  <si>
    <t xml:space="preserve">although the dollar amounts of discounts are less in pharmacy contracts than in manufacturer-rebate contracts, table </t>
  </si>
  <si>
    <t xml:space="preserve"> (pharmacy dir regulation) shows somewhat greater overall utilization effects than table 1a (manufacturer rebate rules) because pharmacy contracts cover both brands and generics.</t>
  </si>
  <si>
    <t xml:space="preserve">although the dollar amounts of discounts are less in pharmacy contracts than in manufacturer-rebate contracts, table 3 (pharmacy dir regulation) shows somewhat greater overall utilization effects than table </t>
  </si>
  <si>
    <t>a (manufacturer rebate rules) because pharmacy contracts cover both brands and generics.</t>
  </si>
  <si>
    <t xml:space="preserve"> and the share 0.102 of medical spending financed through health insurance premiums.</t>
  </si>
  <si>
    <t>the first equation in (1) is found by solving  for h and then substituting the definitions of h and net rx price (rx spend per unit q</t>
  </si>
  <si>
    <t>table entry dollar amounts are rounded to the nearest $</t>
  </si>
  <si>
    <t xml:space="preserve"> million.</t>
  </si>
  <si>
    <t>those costs are a significant part of the $</t>
  </si>
  <si>
    <t>-13 billion addition to health plan premiums.</t>
  </si>
  <si>
    <t>those costs are a significant part of the $10</t>
  </si>
  <si>
    <t>-13</t>
  </si>
  <si>
    <t xml:space="preserve"> billion addition to health plan premiums.</t>
  </si>
  <si>
    <t>’s middle panel shows the incidence of the pharmacy-dir regulation.</t>
  </si>
  <si>
    <t>overall the regulation has a net cost to market participants – $</t>
  </si>
  <si>
    <t>-3 billion annually – because (i) reduced utilization and (ii) benefit management is less productive and more costly.</t>
  </si>
  <si>
    <t>overall the regulation has a net cost to market participants – $2</t>
  </si>
  <si>
    <t>-3</t>
  </si>
  <si>
    <t xml:space="preserve"> billion annually – because (i) reduced utilization and (ii) benefit management is less productive and more costly.</t>
  </si>
  <si>
    <t>if q</t>
  </si>
  <si>
    <t xml:space="preserve"> &amp;lt; q2, then equation (2) would be negative with magnitude representing a savings rather than a cost.</t>
  </si>
  <si>
    <t xml:space="preserve">to avoid double-counting, only the second component of the nondrug medical costs is shown as a distinct category in table </t>
  </si>
  <si>
    <t>’s bottom panel.</t>
  </si>
  <si>
    <t xml:space="preserve">because health insurance premiums are heavily subsidized (although to a lesser degree in the commercial market than in medicare – see appendix ii), the premium increase estimated in table </t>
  </si>
  <si>
    <t xml:space="preserve">this external cost of rebate rules is shown in the “tax distortions” row of table </t>
  </si>
  <si>
    <t>3.</t>
  </si>
  <si>
    <t>for the purposes of table a</t>
  </si>
  <si>
    <t>, a member is part of an integrated plan if there is a commercial relationship between the sponsors of the drug and nonpharmacy plans.</t>
  </si>
  <si>
    <t>overall, the net cost of the pharmacy dir provision of the pbm transparency act would be about $</t>
  </si>
  <si>
    <t>8</t>
  </si>
  <si>
    <t xml:space="preserve"> billion, which includes a net benefit for pharmacies.</t>
  </si>
  <si>
    <t xml:space="preserve">in other words, the costs to patients, plans, manufacturers, and other market participants are at least </t>
  </si>
  <si>
    <t xml:space="preserve"> times the benefits to pharmacies.</t>
  </si>
  <si>
    <t xml:space="preserve">in table </t>
  </si>
  <si>
    <t>, the oact and oactx2 scenarios have the shifting of pharmacy discounts reduce their total by 15 and 30 percent, respectively.</t>
  </si>
  <si>
    <t>of course, the uninsured population is different from the insured, but studies of changes in drug coverage for a given population find that insurance coverage by itself increases drug utilization (lichtenberg, 2007; kaestner, schiman, &amp;amp; alexander, 2019), which in terms of figure 1 suggests that q0 &amp;lt; q</t>
  </si>
  <si>
    <t xml:space="preserve">in table 3, the oact and oactx2 scenarios have the shifting of pharmacy discounts reduce their total by </t>
  </si>
  <si>
    <t xml:space="preserve"> and 30 percent, respectively.</t>
  </si>
  <si>
    <t xml:space="preserve">in table 3, the oact and oactx2 scenarios have the shifting of pharmacy discounts reduce their total by 15 and </t>
  </si>
  <si>
    <t xml:space="preserve"> percent, respectively.</t>
  </si>
  <si>
    <t xml:space="preserve">to also account for fact (ii) the impact analysis of the cms rule rescales the </t>
  </si>
  <si>
    <t xml:space="preserve"> and 30 percent by my estimate of the baseline share of gross drug costs that are paid out of pocket (0.11).</t>
  </si>
  <si>
    <t xml:space="preserve">to also account for fact (ii) the impact analysis of the cms rule rescales the 15 and </t>
  </si>
  <si>
    <t xml:space="preserve"> percent by my estimate of the baseline share of gross drug costs that are paid out of pocket (0.11).</t>
  </si>
  <si>
    <t>to also account for fact (ii) the impact analysis of the cms rule rescales the 15 and 30 percent by my estimate of the baseline share of gross drug costs that are paid out of pocket (</t>
  </si>
  <si>
    <t xml:space="preserve">for example, under the oact scenario, a baseline pharmacy discount of </t>
  </si>
  <si>
    <t xml:space="preserve"> percent (more precisely, 29.8 percent) becomes a 25 percent discount (0.25 = (10.15)*0.298) under the pbm transparency act and a 29 percent discount (0.29 = (10.15*0.11)*0.298) under the cms rule.</t>
  </si>
  <si>
    <t xml:space="preserve">for example, under the oact scenario, a baseline pharmacy discount of 30 percent (more precisely, </t>
  </si>
  <si>
    <t>29.8</t>
  </si>
  <si>
    <t xml:space="preserve"> percent) becomes a 25 percent discount (0.25 = (10.15)*0.298) under the pbm transparency act and a 29 percent discount (0.29 = (10.15*0.11)*0.298) under the cms rule.</t>
  </si>
  <si>
    <t xml:space="preserve">for example, under the oact scenario, a baseline pharmacy discount of 30 percent (more precisely, 29.8 percent) becomes a </t>
  </si>
  <si>
    <t>25</t>
  </si>
  <si>
    <t xml:space="preserve"> percent discount (0.25 = (10.15)*0.298) under the pbm transparency act and a 29 percent discount (0.29 = (10.15*0.11)*0.298) under the cms rule.</t>
  </si>
  <si>
    <t>for example, under the oact scenario, a baseline pharmacy discount of 30 percent (more precisely, 29.8 percent) becomes a 25 percent discount (</t>
  </si>
  <si>
    <t>0.25</t>
  </si>
  <si>
    <t xml:space="preserve"> = (10.15)*0.298) under the pbm transparency act and a 29 percent discount (0.29 = (10.15*0.11)*0.298) under the cms rule.</t>
  </si>
  <si>
    <t>for example, under the oact scenario, a baseline pharmacy discount of 30 percent (more precisely, 29.8 percent) becomes a 25 percent discount (0.25 = (10.15)*</t>
  </si>
  <si>
    <t>0.298</t>
  </si>
  <si>
    <t>) under the pbm transparency act and a 29 percent discount (0.29 = (10.15*0.11)*0.298) under the cms rule.</t>
  </si>
  <si>
    <t xml:space="preserve">for example, under the oact scenario, a baseline pharmacy discount of 30 percent (more precisely, 29.8 percent) becomes a 25 percent discount (0.25 = (10.15)*0.298) under the pbm transparency act and a </t>
  </si>
  <si>
    <t>29</t>
  </si>
  <si>
    <t xml:space="preserve"> percent discount (0.29 = (10.15*0.11)*0.298) under the cms rule.</t>
  </si>
  <si>
    <t>for example, under the oact scenario, a baseline pharmacy discount of 30 percent (more precisely, 29.8 percent) becomes a 25 percent discount (0.25 = (10.15)*0.298) under the pbm transparency act and a 29 percent discount (</t>
  </si>
  <si>
    <t>0.29</t>
  </si>
  <si>
    <t xml:space="preserve"> = (10.15*0.11)*0.298) under the cms rule.</t>
  </si>
  <si>
    <t>for example, under the oact scenario, a baseline pharmacy discount of 30 percent (more precisely, 29.8 percent) becomes a 25 percent discount (0.25 = (10.15)*0.298) under the pbm transparency act and a 29 percent discount (0.29 = (10.15*</t>
  </si>
  <si>
    <t>)*0.298) under the cms rule.</t>
  </si>
  <si>
    <t>for example, under the oact scenario, a baseline pharmacy discount of 30 percent (more precisely, 29.8 percent) becomes a 25 percent discount (0.25 = (10.15)*0.298) under the pbm transparency act and a 29 percent discount (0.29 = (10.15*0.11)*</t>
  </si>
  <si>
    <t>) under the cms rule.</t>
  </si>
  <si>
    <t xml:space="preserve">the cms rule results are shown in table </t>
  </si>
  <si>
    <t xml:space="preserve"> for the part d segment.</t>
  </si>
  <si>
    <t>in figure 1’s demand model, there is one and only one marginal-cost-curve shift corresponding to oactx</t>
  </si>
  <si>
    <t>, which is somewhere in between the oact shift and the retain zero shift.</t>
  </si>
  <si>
    <t>overall, the annual net cost ranges from $</t>
  </si>
  <si>
    <t>0.5</t>
  </si>
  <si>
    <t xml:space="preserve"> to $0.6 billion.</t>
  </si>
  <si>
    <t>overall, the annual net cost ranges from $0.5 to $</t>
  </si>
  <si>
    <t>0.6</t>
  </si>
  <si>
    <t xml:space="preserve">in other words, the cms rule for pharmacy dir will increase pharmacy profits but at a cost to patients, plans, and third parties that is about </t>
  </si>
  <si>
    <t xml:space="preserve"> times the pharmacy benefit.</t>
  </si>
  <si>
    <t>in order to reflect the proposed insulin act’s additional regulation of list prices, the oact (oactx</t>
  </si>
  <si>
    <t>) scenario assumes that the 15 percent (30 percent) of baseline rebates is added one-for-one to net prices, respectively.</t>
  </si>
  <si>
    <t>in the oactx2 scenario, for example, pharmacies gain $</t>
  </si>
  <si>
    <t>120</t>
  </si>
  <si>
    <t>6</t>
  </si>
  <si>
    <t>760</t>
  </si>
  <si>
    <t xml:space="preserve"> million), for a net cost of $640 million.</t>
  </si>
  <si>
    <t>640</t>
  </si>
  <si>
    <t xml:space="preserve">section </t>
  </si>
  <si>
    <t xml:space="preserve"> of the 2023 pbm transparency act gives pbms two compliance options: one option requiring pbms to publicly disclose their remuneration and prohibiting them from retaining any of the discounts paid by manufacturers and pharmacies and another option prohibiting (among other things) pharmacy dir that is obtained “arbitrarily, unfairly, or deceptively.”</t>
  </si>
  <si>
    <t xml:space="preserve">section 2 of the </t>
  </si>
  <si>
    <t xml:space="preserve"> pbm transparency act gives pbms two compliance options: one option requiring pbms to publicly disclose their remuneration and prohibiting them from retaining any of the discounts paid by manufacturers and pharmacies and another option prohibiting (among other things) pharmacy dir that is obtained “arbitrarily, unfairly, or deceptively.”</t>
  </si>
  <si>
    <t xml:space="preserve">section 2 of the 2023 pbm transparency act gives pbms </t>
  </si>
  <si>
    <t xml:space="preserve">section 2 of the 2023 pbm transparency act gives pbms two compliance options: </t>
  </si>
  <si>
    <t xml:space="preserve">the bill’s section </t>
  </si>
  <si>
    <t xml:space="preserve"> disclosure option specifically requires that the “pharmacy benefit manager, affiliate, subsidiary, or agent provides full and complete disclosure of—(a) the cost, price, and reimbursement of the prescription drug to each health plan, payer, and pharmacy with which the pharmacy benefit manager, affiliate, subsidiary, or agent has a contract or agreement to provide pharmacy benefit management services; (b) each fee, markup, and discount charged or imposed by the pharmacy benefit manager, affiliate, subsidiary, or agent to each health plan, payer, and pharmacy with which the pharmacy benefit manager, affiliate, subsidiary, or agent has a contract or agreement for pharmacy benefit management services; or (c) the aggregate amount of all remuneration the pharmacy benefit manager receives from a prescription drug manufacturer for a prescription drug, including any rebate, discount, administration fee, and any other payment or credit obtained or retained by the pharmacy benefit manager, or affiliate, subsidiary, or agent of the pharmacy benefit manager, pursuant to a contract or agreement for pharmacy benefit management services to a health plan, payer, or any federal agency (upon the request of the agency).”</t>
  </si>
  <si>
    <t>in the context of disclosure of health care contract data, the federal trade commission (</t>
  </si>
  <si>
    <t>2015</t>
  </si>
  <si>
    <t>) warned that “[w]hile [transparency] laws can be procompetitive, [they] may require public health plans to publicly disclose competitively sensitive information, including information related to price and cost.</t>
  </si>
  <si>
    <t xml:space="preserve"> anti-competitive concerns cited by the ftc are relevant to the pbm transparency act, because the act specifically targets “cost, price and reimbursement” for disclosure and because selective contracting is an essential tool for pharmacy benefit management.</t>
  </si>
  <si>
    <t>moreover, both the department of justice and the ftc (</t>
  </si>
  <si>
    <t>1996</t>
  </si>
  <si>
    <t>) note that the anti-competitive effects are especially likely when data is disclosed for individual sellers (pbms in this case) or that aggregate data is disclosed for which an individual seller contributes more than 25 percent to the aggregate.</t>
  </si>
  <si>
    <t xml:space="preserve">moreover, both the department of justice and the ftc (1996) note that the anti-competitive effects are especially likely when data is disclosed for individual sellers (pbms in this case) or that aggregate data is disclosed for which an individual seller contributes more than </t>
  </si>
  <si>
    <t xml:space="preserve"> percent to the aggregate.</t>
  </si>
  <si>
    <t xml:space="preserve">these are exactly the disclosure conditions set forth by section </t>
  </si>
  <si>
    <t xml:space="preserve"> of the pbm transparency act.</t>
  </si>
  <si>
    <t xml:space="preserve">consider, for example, </t>
  </si>
  <si>
    <t xml:space="preserve"> branded therapies competing.</t>
  </si>
  <si>
    <t xml:space="preserve">absent disclosures, </t>
  </si>
  <si>
    <t xml:space="preserve"> pays a 20 percent rebate, a second pays 30 percent, and a third pays 40 percent.</t>
  </si>
  <si>
    <t xml:space="preserve">absent disclosures, one pays a </t>
  </si>
  <si>
    <t>20</t>
  </si>
  <si>
    <t xml:space="preserve"> percent rebate, a second pays 30 percent, and a third pays 40 percent.</t>
  </si>
  <si>
    <t xml:space="preserve">absent disclosures, one pays a 20 percent rebate, a second pays </t>
  </si>
  <si>
    <t xml:space="preserve"> percent, and a third pays 40 percent.</t>
  </si>
  <si>
    <t xml:space="preserve">absent disclosures, one pays a 20 percent rebate, a second pays 30 percent, and a </t>
  </si>
  <si>
    <t xml:space="preserve"> pays 40 percent.</t>
  </si>
  <si>
    <t xml:space="preserve">absent disclosures, one pays a 20 percent rebate, a second pays 30 percent, and a third pays </t>
  </si>
  <si>
    <t>40</t>
  </si>
  <si>
    <t xml:space="preserve">the second and </t>
  </si>
  <si>
    <t xml:space="preserve"> understand that they are rebating more than another competitor but are unaware that the gap from the more expensive competitor is a full 10 percentage points.</t>
  </si>
  <si>
    <t xml:space="preserve">the second and third understand that they are rebating more than another competitor but are unaware that the gap from the more expensive competitor is a full </t>
  </si>
  <si>
    <t xml:space="preserve"> percentage points.</t>
  </si>
  <si>
    <t xml:space="preserve">as full disclosure reveals the gaps, the second reduces its rebate to </t>
  </si>
  <si>
    <t>21</t>
  </si>
  <si>
    <t xml:space="preserve"> percent while the third reduces to 22 percent.</t>
  </si>
  <si>
    <t xml:space="preserve">as full disclosure reveals the gaps, the second reduces its rebate to 21 percent while the </t>
  </si>
  <si>
    <t xml:space="preserve"> reduces to 22 percent.</t>
  </si>
  <si>
    <t xml:space="preserve">as full disclosure reveals the gaps, the second reduces its rebate to 21 percent while the third reduces to </t>
  </si>
  <si>
    <t xml:space="preserve">in other words, full disclosure reduces the average rebate from </t>
  </si>
  <si>
    <t xml:space="preserve"> percent to 21 percent.</t>
  </si>
  <si>
    <t xml:space="preserve">in other words, full disclosure reduces the average rebate from 30 percent to </t>
  </si>
  <si>
    <t xml:space="preserve">the consequences of reducing manufacturer rebate rates from </t>
  </si>
  <si>
    <t xml:space="preserve"> to 21 percent are already shown in tables 1a, 1b, and 2 as the oactx2 scenario, although only for the part d segment.</t>
  </si>
  <si>
    <t xml:space="preserve">the consequences of reducing manufacturer rebate rates from 30 to </t>
  </si>
  <si>
    <t xml:space="preserve"> percent are already shown in tables 1a, 1b, and 2 as the oactx2 scenario, although only for the part d segment.</t>
  </si>
  <si>
    <t xml:space="preserve">the consequences of reducing manufacturer rebate rates from 30 to 21 percent are already shown in tables </t>
  </si>
  <si>
    <t>a, 1b, and 2 as the oactx2 scenario, although only for the part d segment.</t>
  </si>
  <si>
    <t xml:space="preserve">the consequences of reducing manufacturer rebate rates from 30 to 21 percent are already shown in tables 1a, </t>
  </si>
  <si>
    <t>b, and 2 as the oactx2 scenario, although only for the part d segment.</t>
  </si>
  <si>
    <t xml:space="preserve">the consequences of reducing manufacturer rebate rates from 30 to 21 percent are already shown in tables 1a, 1b, and </t>
  </si>
  <si>
    <t xml:space="preserve"> as the oactx2 scenario, although only for the part d segment.</t>
  </si>
  <si>
    <t>utilization falls more, and net prices increase more, in the oactx</t>
  </si>
  <si>
    <t xml:space="preserve"> and retain-zero scenarios because each of those scenarios assumes progressively more reduction in volume discounting.</t>
  </si>
  <si>
    <t>’s manufacturer-competition column shows the results for the entire market, including commercial and medicaid.</t>
  </si>
  <si>
    <t>although manufacturers would profit from reduced rebate rates, the cost to plans and patients exceeds the manufacturer benefit by $</t>
  </si>
  <si>
    <t>12.3</t>
  </si>
  <si>
    <t xml:space="preserve"> billion per year, as shown in the first cell of table 5.</t>
  </si>
  <si>
    <t xml:space="preserve">although manufacturers would profit from reduced rebate rates, the cost to plans and patients exceeds the manufacturer benefit by $12.3 billion per year, as shown in the first cell of table </t>
  </si>
  <si>
    <t>5.</t>
  </si>
  <si>
    <t>the external costs of reduced manufacturer competition are another $</t>
  </si>
  <si>
    <t>14.6</t>
  </si>
  <si>
    <t xml:space="preserve">the table shows the net costs of </t>
  </si>
  <si>
    <t xml:space="preserve"> types of reduced competition that may be the result of disclosure requirements.</t>
  </si>
  <si>
    <t xml:space="preserve">sources: table </t>
  </si>
  <si>
    <t>b scaled to industry rebates, table 4, section iii.</t>
  </si>
  <si>
    <t xml:space="preserve">sources: table 1b scaled to industry rebates, table </t>
  </si>
  <si>
    <t>, section iii.</t>
  </si>
  <si>
    <t xml:space="preserve">the external costs in this table exclude any tax distortion from rebates or discounts shifted to the point of sale, which are part of table </t>
  </si>
  <si>
    <t>4.</t>
  </si>
  <si>
    <t>the effects on manufacturer profits, plan and patient value, and third-party medical costs are about twice as large in the oactx</t>
  </si>
  <si>
    <t xml:space="preserve"> scenario as in the oact scenario.</t>
  </si>
  <si>
    <t xml:space="preserve">if the requirements reduce average pharmacy discounts from </t>
  </si>
  <si>
    <t xml:space="preserve"> percent of the list price of pharmacy services to 21 percent, the consequences are essentially those shown in table 3 for the oactx2 scenario.</t>
  </si>
  <si>
    <t xml:space="preserve">if the requirements reduce average pharmacy discounts from 30 percent of the list price of pharmacy services to </t>
  </si>
  <si>
    <t xml:space="preserve"> percent, the consequences are essentially those shown in table 3 for the oactx2 scenario.</t>
  </si>
  <si>
    <t xml:space="preserve">if the requirements reduce average pharmacy discounts from 30 percent of the list price of pharmacy services to 21 percent, the consequences are essentially those shown in table </t>
  </si>
  <si>
    <t xml:space="preserve"> for the oactx2 scenario.</t>
  </si>
  <si>
    <t>i also consider an “oactx</t>
  </si>
  <si>
    <t>” scenario, which doubles the discounting reduction assumed by the oact scenario.</t>
  </si>
  <si>
    <t>although pharmacies would profit from reduced pharmacy discounts, the cost to plans and patients exceeds the pharmacy benefit by $</t>
  </si>
  <si>
    <t>3.4</t>
  </si>
  <si>
    <t xml:space="preserve"> billion per year, as shown in the middle column of table 5.</t>
  </si>
  <si>
    <t xml:space="preserve">although pharmacies would profit from reduced pharmacy discounts, the cost to plans and patients exceeds the pharmacy benefit by $3.4 billion per year, as shown in the middle column of table </t>
  </si>
  <si>
    <t>4.6</t>
  </si>
  <si>
    <t xml:space="preserve">disclosure rules may affect pbm competition in </t>
  </si>
  <si>
    <t xml:space="preserve"> ways.</t>
  </si>
  <si>
    <t xml:space="preserve"> is they put smaller pbms at a competitive disadvantage because they are not integrated with pharmacies and plans and thereby have fewer ways to adjust pbm remuneration without affecting performance along the supply chain.</t>
  </si>
  <si>
    <t xml:space="preserve"> potential harm to competition is hindering investment and innovation in benefit management.</t>
  </si>
  <si>
    <t xml:space="preserve"> of the major intended (and procompetitive) results of a managed insurance benefit is to maintain different prices of products produced by monopolistic or oligopolistic healthcare providers.</t>
  </si>
  <si>
    <t>the effect is greater in the oact scenario than in the oact</t>
  </si>
  <si>
    <t xml:space="preserve"> scenario because the former assumes that pbms are still negotiating comparatively large discounts from pharmacies.</t>
  </si>
  <si>
    <t>in table 3, the oact and oactx</t>
  </si>
  <si>
    <t xml:space="preserve"> scenarios have the shifting of pharmacy discounts reduce their total by 15 and 30 percent, respectively.</t>
  </si>
  <si>
    <t xml:space="preserve"> billion per year in the industry plus another $53 billion of external effects (mulligan, 2022), chilling pbm competition by itself would have a net cost of up to $36-60 billion, the midpoint of which is shown in table 5.</t>
  </si>
  <si>
    <t xml:space="preserve"> billion of external effects (mulligan, 2022), chilling pbm competition by itself would have a net cost of up to $36-60 billion, the midpoint of which is shown in table 5.</t>
  </si>
  <si>
    <t>), chilling pbm competition by itself would have a net cost of up to $36-60 billion, the midpoint of which is shown in table 5.</t>
  </si>
  <si>
    <t>-60 billion, the midpoint of which is shown in table 5.</t>
  </si>
  <si>
    <t xml:space="preserve"> billion, the midpoint of which is shown in table 5.</t>
  </si>
  <si>
    <t xml:space="preserve">with baseline benefit management creating surplus of $92 billion per year in the industry plus another $53 billion of external effects (mulligan, 2022), chilling pbm competition by itself would have a net cost of up to $36-60 billion, the midpoint of which is shown in table </t>
  </si>
  <si>
    <t xml:space="preserve">any rigorous and realistic analysis of the consequences of pbm regulation must acknowledge what benefit management does and what it costs (see also burns </t>
  </si>
  <si>
    <t>in the oactx</t>
  </si>
  <si>
    <t xml:space="preserve"> scenario, for example, pharmacies gain $120 million annually while others pay about 6 times that ($760 million), for a net cost of $640 million.</t>
  </si>
  <si>
    <t xml:space="preserve">in the retail pharmacy market (excluding mail pharmacies), the top </t>
  </si>
  <si>
    <t xml:space="preserve"> retailers have 60 percent of the market.</t>
  </si>
  <si>
    <t xml:space="preserve">in the retail pharmacy market (excluding mail pharmacies), the top three retailers have </t>
  </si>
  <si>
    <t xml:space="preserve"> percent of the market.</t>
  </si>
  <si>
    <t>the consequences of reducing manufacturer rebate rates from 30 to 21 percent are already shown in tables 1a, 1b, and 2 as the oactx</t>
  </si>
  <si>
    <t xml:space="preserve"> scenario, although only for the part d segment.</t>
  </si>
  <si>
    <t xml:space="preserve">healthcare providers do that too, often with the assistance of industry regulation (u.s. department of health and human services, </t>
  </si>
  <si>
    <t>2018</t>
  </si>
  <si>
    <t xml:space="preserve">buyers’ clubs induce sellers to limit their exercise of market power by presenting them with a more price-elastic demand curve (jaffe, minton, mulligan, &amp;amp; murphy, </t>
  </si>
  <si>
    <t xml:space="preserve">quantity discounts obtained by buyers’ clubs serve much the same purpose (murphy, snyder, &amp;amp; topel, </t>
  </si>
  <si>
    <t>2014</t>
  </si>
  <si>
    <t>if the requirements reduce average pharmacy discounts from 30 percent of the list price of pharmacy services to 21 percent, the consequences are essentially those shown in table 3 for the oactx</t>
  </si>
  <si>
    <t>where a1, a</t>
  </si>
  <si>
    <t>, , and  are constant demand parameters satisfying:</t>
  </si>
  <si>
    <t>four</t>
  </si>
  <si>
    <t xml:space="preserve"> important types of evidence indicate that pbm services increase prescription-drug utilization rather than reducing it.</t>
  </si>
  <si>
    <t xml:space="preserve"> is a study of drug-patent expirations by lakdawalla and sood (2013) showing how the quantities sold under patent are further below the post-patent quantities when the potential drug consumers are less likely to have prescription-drug coverage and thereby less likely to be served by a pbm.</t>
  </si>
  <si>
    <t>at marginal values of /(+1), each oligopolist’s demand curve has own price elasticity  &amp;lt; 1 and cross-price elasticity    &amp;gt; 0.  the restrictions on a1 and a</t>
  </si>
  <si>
    <t xml:space="preserve"> imposed in (4) require that generic demand would be zero if both brands price at marginal cost.</t>
  </si>
  <si>
    <t>one is a study of drug-patent expirations by lakdawalla and sood (</t>
  </si>
  <si>
    <t>) showing how the quantities sold under patent are further below the post-patent quantities when the potential drug consumers are less likely to have prescription-drug coverage and thereby less likely to be served by a pbm.</t>
  </si>
  <si>
    <t>regulatory impact by comparing this baseline with the equilibrium associated with a different value of the cost parameter c (holding constant , , ) namely the one that achieves each scenario’s target rebate rate: 25.5 percent (oact, c = 0.0426), 21 percent (oactx</t>
  </si>
  <si>
    <t>, c = 0.0774), or 10.1 percent (retain zero, c = 0.288).</t>
  </si>
  <si>
    <t>for the oactx</t>
  </si>
  <si>
    <t xml:space="preserve"> scenario, the net price increase is 90 percent.</t>
  </si>
  <si>
    <t>the regulatory impact on list prices is 48 percent, 41 percent, and 36 percent according to the oact, oactx</t>
  </si>
  <si>
    <t xml:space="preserve"> and retain-zero scenarios, respectively.</t>
  </si>
  <si>
    <t xml:space="preserve">a related finding is that patent expiration does little to increase market-level sales (lakdawalla &amp;amp; philipson, </t>
  </si>
  <si>
    <t>), which in terms of my figure 1 further suggests that q1 is well above q0 and further supports my conclusion that pbm services significantly increase utilization even when generics are not available.</t>
  </si>
  <si>
    <t xml:space="preserve">a related finding is that patent expiration does little to increase market-level sales (lakdawalla &amp;amp; philipson, 2012), which in terms of my figure </t>
  </si>
  <si>
    <t xml:space="preserve"> further suggests that q1 is well above q0 and further supports my conclusion that pbm services significantly increase utilization even when generics are not available.</t>
  </si>
  <si>
    <t>figure a1 shows how to apply these findings to any regulation that shifts changes the equilibrium quantity from q1 to q</t>
  </si>
  <si>
    <t xml:space="preserve"> due to changes in incentives and performance along the prescription supply chain.</t>
  </si>
  <si>
    <t>equation (19) essentially (i) rescales the kaestner, schiman and alexander (2019) estimate to fit the change from q1 to q</t>
  </si>
  <si>
    <t xml:space="preserve"> rather than the 35 percent increase in their study and (ii) isolates the part of those costs falling on third parties.</t>
  </si>
  <si>
    <t>the values of b and q</t>
  </si>
  <si>
    <t>/q1 vary depending on the rx segment being regulated.</t>
  </si>
  <si>
    <t xml:space="preserve">of course, the uninsured population is different from the insured, but studies of changes in drug coverage for a given population find that insurance coverage by itself increases drug utilization (lichtenberg, </t>
  </si>
  <si>
    <t>2007</t>
  </si>
  <si>
    <t>; kaestner, schiman, &amp;amp; alexander, 2019), which in terms of figure 1 suggests that q0 &amp;lt; q1.</t>
  </si>
  <si>
    <t xml:space="preserve">of course, the uninsured population is different from the insured, but studies of changes in drug coverage for a given population find that insurance coverage by itself increases drug utilization (lichtenberg, 2007; kaestner, schiman, &amp;amp; alexander, </t>
  </si>
  <si>
    <t>), which in terms of figure 1 suggests that q0 &amp;lt; q1.</t>
  </si>
  <si>
    <t xml:space="preserve">of course, the uninsured population is different from the insured, but studies of changes in drug coverage for a given population find that insurance coverage by itself increases drug utilization (lichtenberg, 2007; kaestner, schiman, &amp;amp; alexander, 2019), which in terms of figure </t>
  </si>
  <si>
    <t xml:space="preserve"> suggests that q0 &amp;lt; q1.</t>
  </si>
  <si>
    <t>the quantity change q</t>
  </si>
  <si>
    <t>/q1 comes from figure 1 and related analysis, as shown in the main text.</t>
  </si>
  <si>
    <t>in the model (26), the quantity increases if and only if marginal cost declines, which in figure a</t>
  </si>
  <si>
    <t xml:space="preserve"> means that an intercept moves closer to the origin.</t>
  </si>
  <si>
    <t>, several studies show that mail-order pharmacies, an important service provided by pbms, by themselves increase medication adherence.</t>
  </si>
  <si>
    <t>th comparison is the rebates received from manufacturers facing more therapeutic competition from those facing less.</t>
  </si>
  <si>
    <t xml:space="preserve">the economic model has </t>
  </si>
  <si>
    <t xml:space="preserve"> goods: two branded drugs in quantities q and q, generic drugs g, and all other goods z.  the market demand system is represented by the preferences u(q,q,g) + z, where u is a jointly concave function that is symmetric in q and q.  i assume that u is a quadratic form, which makes the marginal rate of substitution between any of q, q, g and all other goods that is linear in the three drug quantities.</t>
  </si>
  <si>
    <t xml:space="preserve">the economic model has four goods: </t>
  </si>
  <si>
    <t xml:space="preserve"> branded drugs in quantities q and q, generic drugs g, and all other goods z.  the market demand system is represented by the preferences u(q,q,g) + z, where u is a jointly concave function that is symmetric in q and q.  i assume that u is a quadratic form, which makes the marginal rate of substitution between any of q, q, g and all other goods that is linear in the three drug quantities.</t>
  </si>
  <si>
    <t xml:space="preserve">the economic model has four goods: two branded drugs in quantities q and q, generic drugs g, and all other goods z.  the market demand system is represented by the preferences u(q,q,g) + z, where u is a jointly concave function that is symmetric in q and q.  i assume that u is a quadratic form, which makes the marginal rate of substitution between any of q, q, g and all other goods that is linear in the </t>
  </si>
  <si>
    <t xml:space="preserve"> drug quantities.</t>
  </si>
  <si>
    <t xml:space="preserve">the market for a monopoly drug is analyzed by setting q = g = </t>
  </si>
  <si>
    <t xml:space="preserve"> and determining the equilibrium q.  the oligopoly market for a drug without generic competition is modeled by setting g = 0.  most of the analysis uses the oligopoly version (g = 0), except when assessing the effect of shifts of brand utilization on generic utilization.</t>
  </si>
  <si>
    <t xml:space="preserve">the market for a monopoly drug is analyzed by setting q = g = 0 and determining the equilibrium q.  the oligopoly market for a drug without generic competition is modeled by setting g = </t>
  </si>
  <si>
    <t>0.</t>
  </si>
  <si>
    <t xml:space="preserve">  most of the analysis uses the oligopoly version (g = 0), except when assessing the effect of shifts of brand utilization on generic utilization.</t>
  </si>
  <si>
    <t xml:space="preserve">the market for a monopoly drug is analyzed by setting q = g = 0 and determining the equilibrium q.  the oligopoly market for a drug without generic competition is modeled by setting g = 0.  most of the analysis uses the oligopoly version (g = </t>
  </si>
  <si>
    <t>), except when assessing the effect of shifts of brand utilization on generic utilization.</t>
  </si>
  <si>
    <t>the approximate linearity of results across scenarios allows readers to approximate results for additional scenarios that are between any two of oact, oactx</t>
  </si>
  <si>
    <t>, retain zero (interpolation) or to extrapolate outside that range.</t>
  </si>
  <si>
    <t>workarounds like this are reasons to emphasize the “oact” scenario over the “oactx</t>
  </si>
  <si>
    <t>” scenario.</t>
  </si>
  <si>
    <t>the remaining preference parameters in (</t>
  </si>
  <si>
    <t>) are set to normalize the quantities so that the oligopoly marginal rates of substitution would be one when q = q = 1.</t>
  </si>
  <si>
    <t xml:space="preserve">the remaining preference parameters in (4) are set to normalize the quantities so that the oligopoly marginal rates of substitution would be </t>
  </si>
  <si>
    <t xml:space="preserve"> when q = q = 1.</t>
  </si>
  <si>
    <t xml:space="preserve">the remaining preference parameters in (4) are set to normalize the quantities so that the oligopoly marginal rates of substitution would be one when q = q = </t>
  </si>
  <si>
    <t xml:space="preserve">at marginal values of /(+1), each oligopolist’s demand curve has own price elasticity  &amp;lt; </t>
  </si>
  <si>
    <t xml:space="preserve"> and cross-price elasticity    &amp;gt; 0.  the restrictions on a1 and a2 imposed in (4) require that generic demand would be zero if both brands price at marginal cost.</t>
  </si>
  <si>
    <t xml:space="preserve">at marginal values of /(+1), each oligopolist’s demand curve has own price elasticity  &amp;lt; 1 and cross-price elasticity    &amp;gt; </t>
  </si>
  <si>
    <t xml:space="preserve">  the restrictions on a1 and a2 imposed in (4) require that generic demand would be zero if both brands price at marginal cost.</t>
  </si>
  <si>
    <t>if q1 &amp;lt; q</t>
  </si>
  <si>
    <t>, then equation (2) would be negative with magnitude representing a savings rather than a cost.</t>
  </si>
  <si>
    <t>a third scenario, also relevant for section iii’s competition analysis, is oactx</t>
  </si>
  <si>
    <t>at marginal values of /(+1), each oligopolist’s demand curve has own price elasticity  &amp;lt; 1 and cross-price elasticity    &amp;gt; 0.  the restrictions on a1 and a2 imposed in (</t>
  </si>
  <si>
    <t>) require that generic demand would be zero if both brands price at marginal cost.</t>
  </si>
  <si>
    <t xml:space="preserve">at marginal values of /(+1), each oligopolist’s demand curve has own price elasticity  &amp;lt; 1 and cross-price elasticity    &amp;gt; 0.  the restrictions on a1 and a2 imposed in (4) require that generic demand would be </t>
  </si>
  <si>
    <t xml:space="preserve"> if both brands price at marginal cost.</t>
  </si>
  <si>
    <t xml:space="preserve">these </t>
  </si>
  <si>
    <t xml:space="preserve"> demand parameters are irrelevant in the oligopoly version.</t>
  </si>
  <si>
    <t xml:space="preserve">the marginal cost of producing, distributing, and retailing the drug as part of an unmanaged plan is normalized to </t>
  </si>
  <si>
    <t xml:space="preserve">if generics are part of the market, they are assumed to set price equal to </t>
  </si>
  <si>
    <t xml:space="preserve">the scalar c is a cost parameter that is affected by regulation, illustrated by the red arrows in figure </t>
  </si>
  <si>
    <t xml:space="preserve">the management cost  is the area shown in figure </t>
  </si>
  <si>
    <t xml:space="preserve"> between the blue marginal management cost curve and the horizontal line at marginal cost of one.</t>
  </si>
  <si>
    <t xml:space="preserve">the management cost  is the area shown in figure 1 between the blue marginal management cost curve and the horizontal line at marginal cost of </t>
  </si>
  <si>
    <t xml:space="preserve">regulatory impact is modeled as an equilibrium comparative static with respect to the management cost parameter c.  because c is common to the symmetric oligopolists in the same market, regulatory impact on price, quantity, and industry surplus  can be examined at the industry level, such as using figure </t>
  </si>
  <si>
    <t xml:space="preserve"> and interpreting the demand curve as the brand-aggregate demand.</t>
  </si>
  <si>
    <t>in other words, equation (19) is my estimate of the cost to third parties (in the form of additional nonpharmacy medical costs) of reducing rx utilization from q1 to q</t>
  </si>
  <si>
    <t>to the extent that benefit-management regulation increases the cost parameter c, rather than decreasing it, (</t>
  </si>
  <si>
    <t>) and (6) predict that regulation moves the market up the demand curve in the direction of lower quantities and higher marginal prices.</t>
  </si>
  <si>
    <t>to the extent that benefit-management regulation increases the cost parameter c, rather than decreasing it, (5) and (</t>
  </si>
  <si>
    <t>) predict that regulation moves the market up the demand curve in the direction of lower quantities and higher marginal prices.</t>
  </si>
  <si>
    <t>from (</t>
  </si>
  <si>
    <t>) - (7), industry surplus is calculated as , which is decreasing in the cost parameter c.  this surplus is greater than it would be if the oligopolists were only setting a single price.</t>
  </si>
  <si>
    <t>from (5) - (</t>
  </si>
  <si>
    <t>7</t>
  </si>
  <si>
    <t>), industry surplus is calculated as , which is decreasing in the cost parameter c.  this surplus is greater than it would be if the oligopolists were only setting a single price.</t>
  </si>
  <si>
    <t>the regulatory-induced shift in marginal cost represented by the rhs of equation (29) can also be demonstrated graphically, as in figure a</t>
  </si>
  <si>
    <t xml:space="preserve">the increase in the costs of resources used in benefit management shown in table </t>
  </si>
  <si>
    <t>, as well as the reduction in industry surplus shown in table 1b, would be understated.</t>
  </si>
  <si>
    <t xml:space="preserve">the increase in the costs of resources used in benefit management shown in table 2, as well as the reduction in industry surplus shown in table </t>
  </si>
  <si>
    <t>b, would be understated.</t>
  </si>
  <si>
    <t xml:space="preserve">for drugs generally, i set the demand parameters at  = </t>
  </si>
  <si>
    <t>1.2</t>
  </si>
  <si>
    <t xml:space="preserve"> and  = 0.5 in order to fit estimates of oligopoly (list-price) markups and estimates of industry-level price elasticities of demand.</t>
  </si>
  <si>
    <t xml:space="preserve">for drugs generally, i set the demand parameters at  = 1.2 and  = </t>
  </si>
  <si>
    <t xml:space="preserve"> in order to fit estimates of oligopoly (list-price) markups and estimates of industry-level price elasticities of demand.</t>
  </si>
  <si>
    <t>Equation reference</t>
  </si>
  <si>
    <t>equilibrium equations (</t>
  </si>
  <si>
    <t>), (6), and (7) therefore specialize as, rounded to three decimal places, (10) - (12):</t>
  </si>
  <si>
    <t>equilibrium equations (5), (</t>
  </si>
  <si>
    <t>), and (7) therefore specialize as, rounded to three decimal places, (10) - (12):</t>
  </si>
  <si>
    <t>equilibrium equations (5), (6), and (</t>
  </si>
  <si>
    <t>) therefore specialize as, rounded to three decimal places, (10) - (12):</t>
  </si>
  <si>
    <t xml:space="preserve">equilibrium equations (5), (6), and (7) therefore specialize as, rounded to </t>
  </si>
  <si>
    <t xml:space="preserve"> decimal places, (10) - (12):</t>
  </si>
  <si>
    <t>equilibrium equations (5), (6), and (7) therefore specialize as, rounded to three decimal places, (</t>
  </si>
  <si>
    <t>) - (12):</t>
  </si>
  <si>
    <t>equilibrium equations (5), (6), and (7) therefore specialize as, rounded to three decimal places, (10) - (</t>
  </si>
  <si>
    <t>12</t>
  </si>
  <si>
    <t>):</t>
  </si>
  <si>
    <t xml:space="preserve">the model is calibrated to match an observed baseline rebate rate, which i assume to be </t>
  </si>
  <si>
    <t xml:space="preserve"> percent for branded drugs generally.</t>
  </si>
  <si>
    <t xml:space="preserve">because the management-cost parameter c is not measured, any value of the sharing parameter  is consistent with a </t>
  </si>
  <si>
    <t xml:space="preserve"> percent rebate rate.</t>
  </si>
  <si>
    <t xml:space="preserve">the corresponding cost parameter is about c = </t>
  </si>
  <si>
    <t>0.0181</t>
  </si>
  <si>
    <t xml:space="preserve">regulatory impact by comparing this baseline with the equilibrium associated with a different value of the cost parameter c (holding constant , , ) namely the </t>
  </si>
  <si>
    <t xml:space="preserve"> that achieves each scenario’s target rebate rate: 25.5 percent (oact, c = 0.0426), 21 percent (oactx2, c = 0.0774), or 10.1 percent (retain zero, c = 0.288).</t>
  </si>
  <si>
    <t xml:space="preserve">regulatory impact by comparing this baseline with the equilibrium associated with a different value of the cost parameter c (holding constant , , ) namely the one that achieves each scenario’s target rebate rate: </t>
  </si>
  <si>
    <t>25.5</t>
  </si>
  <si>
    <t xml:space="preserve"> percent (oact, c = 0.0426), 21 percent (oactx2, c = 0.0774), or 10.1 percent (retain zero, c = 0.288).</t>
  </si>
  <si>
    <t xml:space="preserve">regulatory impact by comparing this baseline with the equilibrium associated with a different value of the cost parameter c (holding constant , , ) namely the one that achieves each scenario’s target rebate rate: 25.5 percent (oact, c = </t>
  </si>
  <si>
    <t>0.0426</t>
  </si>
  <si>
    <t>), 21 percent (oactx2, c = 0.0774), or 10.1 percent (retain zero, c = 0.288).</t>
  </si>
  <si>
    <t xml:space="preserve">regulatory impact by comparing this baseline with the equilibrium associated with a different value of the cost parameter c (holding constant , , ) namely the one that achieves each scenario’s target rebate rate: 25.5 percent (oact, c = 0.0426), </t>
  </si>
  <si>
    <t xml:space="preserve"> percent (oactx2, c = 0.0774), or 10.1 percent (retain zero, c = 0.288).</t>
  </si>
  <si>
    <t xml:space="preserve">regulatory impact by comparing this baseline with the equilibrium associated with a different value of the cost parameter c (holding constant , , ) namely the one that achieves each scenario’s target rebate rate: 25.5 percent (oact, c = 0.0426), 21 percent (oactx2, c = </t>
  </si>
  <si>
    <t>0.0774</t>
  </si>
  <si>
    <t>), or 10.1 percent (retain zero, c = 0.288).</t>
  </si>
  <si>
    <t xml:space="preserve">regulatory impact by comparing this baseline with the equilibrium associated with a different value of the cost parameter c (holding constant , , ) namely the one that achieves each scenario’s target rebate rate: 25.5 percent (oact, c = 0.0426), 21 percent (oactx2, c = 0.0774), or </t>
  </si>
  <si>
    <t xml:space="preserve"> percent (retain zero, c = 0.288).</t>
  </si>
  <si>
    <t xml:space="preserve">regulatory impact by comparing this baseline with the equilibrium associated with a different value of the cost parameter c (holding constant , , ) namely the one that achieves each scenario’s target rebate rate: 25.5 percent (oact, c = 0.0426), 21 percent (oactx2, c = 0.0774), or 10.1 percent (retain zero, c = </t>
  </si>
  <si>
    <t>0.288</t>
  </si>
  <si>
    <t xml:space="preserve">for example, the </t>
  </si>
  <si>
    <t>5.0</t>
  </si>
  <si>
    <t xml:space="preserve"> percent brand-quantity impact show in table 1a’s first entry is a comparison of the first part of equation (10) evaluated at the aforementioned values c = 0.0181 and c = 0.0426.</t>
  </si>
  <si>
    <t xml:space="preserve">for example, the 5.0 percent brand-quantity impact show in table </t>
  </si>
  <si>
    <t>a’s first entry is a comparison of the first part of equation (10) evaluated at the aforementioned values c = 0.0181 and c = 0.0426.</t>
  </si>
  <si>
    <t>for example, the 5.0 percent brand-quantity impact show in table 1a’s first entry is a comparison of the first part of equation (</t>
  </si>
  <si>
    <t>) evaluated at the aforementioned values c = 0.0181 and c = 0.0426.</t>
  </si>
  <si>
    <t xml:space="preserve">for example, the 5.0 percent brand-quantity impact show in table 1a’s first entry is a comparison of the first part of equation (10) evaluated at the aforementioned values c = </t>
  </si>
  <si>
    <t xml:space="preserve"> and c = 0.0426.</t>
  </si>
  <si>
    <t xml:space="preserve">for example, the 5.0 percent brand-quantity impact show in table 1a’s first entry is a comparison of the first part of equation (10) evaluated at the aforementioned values c = 0.0181 and c = </t>
  </si>
  <si>
    <t xml:space="preserve">this pattern can be explained in a benefit management model such as figure </t>
  </si>
  <si>
    <t xml:space="preserve"> by having a demand curve that is convex at and above the price (7) even though it is linear below that price.</t>
  </si>
  <si>
    <t>this pattern can be explained in a benefit management model such as figure 1 by having a demand curve that is convex at and above the price (</t>
  </si>
  <si>
    <t>) even though it is linear below that price.</t>
  </si>
  <si>
    <t xml:space="preserve">indeed, as the baseline benefit cost parameter c approaches </t>
  </si>
  <si>
    <t>, any list price above (7) and any rebate rate up to (but not including) 100 percent is consistent with the oligopoly equilibrium as formally defined by mulligan (2022).</t>
  </si>
  <si>
    <t>indeed, as the baseline benefit cost parameter c approaches zero, any list price above (</t>
  </si>
  <si>
    <t>) and any rebate rate up to (but not including) 100 percent is consistent with the oligopoly equilibrium as formally defined by mulligan (2022).</t>
  </si>
  <si>
    <t xml:space="preserve">indeed, as the baseline benefit cost parameter c approaches zero, any list price above (7) and any rebate rate up to (but not including) </t>
  </si>
  <si>
    <t xml:space="preserve"> percent is consistent with the oligopoly equilibrium as formally defined by mulligan (2022).</t>
  </si>
  <si>
    <t>indeed, as the baseline benefit cost parameter c approaches zero, any list price above (7) and any rebate rate up to (but not including) 100 percent is consistent with the oligopoly equilibrium as formally defined by mulligan (</t>
  </si>
  <si>
    <t xml:space="preserve">recall that, to the extent that the management-cost parameter c exceeds </t>
  </si>
  <si>
    <t>, higher list prices increase management costs by increasing the differential between list price and the marginal price achieved by benefit management.</t>
  </si>
  <si>
    <t>my quantitative modeling therefore assumes that an insulin manufacturer’s demand curve coincides with its iso-profit curve for prices above (</t>
  </si>
  <si>
    <t xml:space="preserve">to simplify that analysis, and to be conservative about the net cost of regulations that increase c, i assume that (i) the sharing parameter  is </t>
  </si>
  <si>
    <t>, (ii) the baseline has c = 0 and (iii) regulations increase c only as much as required to meet the regulation’s rebate targets.</t>
  </si>
  <si>
    <t xml:space="preserve">to simplify that analysis, and to be conservative about the net cost of regulations that increase c, i assume that (i) the sharing parameter  is one, (ii) the baseline has c = </t>
  </si>
  <si>
    <t xml:space="preserve"> and (iii) regulations increase c only as much as required to meet the regulation’s rebate targets.</t>
  </si>
  <si>
    <t>as a result, equilibrium quantities and marginal prices are on the linear part of the demand curve, described by equations (</t>
  </si>
  <si>
    <t>) and (6), both in the baseline and under regulation.</t>
  </si>
  <si>
    <t>as a result, equilibrium quantities and marginal prices are on the linear part of the demand curve, described by equations (5) and (</t>
  </si>
  <si>
    <t>), both in the baseline and under regulation.</t>
  </si>
  <si>
    <t>the regulated list prices are also described by (</t>
  </si>
  <si>
    <t xml:space="preserve">because any baseline rebate rate is consistent with equilibrium as long as it comes with a list price resulting in the same manufacturer profits as in fully linear model, i assume that the baseline insulin rebate is </t>
  </si>
  <si>
    <t xml:space="preserve"> percent as a representation of insulin markets as of the year 2022.</t>
  </si>
  <si>
    <t xml:space="preserve">because any baseline rebate rate is consistent with equilibrium as long as it comes with a list price resulting in the same manufacturer profits as in fully linear model, i assume that the baseline insulin rebate is 75 percent as a representation of insulin markets as of the year </t>
  </si>
  <si>
    <t xml:space="preserve">i assume that insulin is </t>
  </si>
  <si>
    <t xml:space="preserve"> as price elastic at the industry level ( = 0.25) than drugs generally.</t>
  </si>
  <si>
    <t xml:space="preserve">i assume that insulin is half as price elastic at the industry level ( = </t>
  </si>
  <si>
    <t>) than drugs generally.</t>
  </si>
  <si>
    <t xml:space="preserve">to capture less cross-price elasticity among insulin products (e.g., biologics may substitute less readily than small molecules do), i set the insulin brand own-price elasticity closer to </t>
  </si>
  <si>
    <t>:  = 1.1.  equilibrium equations (5)-(7) therefore specialize as, rounded to three decimal places, (13)-(15):</t>
  </si>
  <si>
    <t xml:space="preserve">to capture less cross-price elasticity among insulin products (e.g., biologics may substitute less readily than small molecules do), i set the insulin brand own-price elasticity closer to 1:  = </t>
  </si>
  <si>
    <t>1.1</t>
  </si>
  <si>
    <t>.  equilibrium equations (5)-(7) therefore specialize as, rounded to three decimal places, (13)-(15):</t>
  </si>
  <si>
    <t>to capture less cross-price elasticity among insulin products (e.g., biologics may substitute less readily than small molecules do), i set the insulin brand own-price elasticity closer to 1:  = 1.1.  equilibrium equations (</t>
  </si>
  <si>
    <t>)-(7) therefore specialize as, rounded to three decimal places, (13)-(15):</t>
  </si>
  <si>
    <t>to capture less cross-price elasticity among insulin products (e.g., biologics may substitute less readily than small molecules do), i set the insulin brand own-price elasticity closer to 1:  = 1.1.  equilibrium equations (5)-(</t>
  </si>
  <si>
    <t>) therefore specialize as, rounded to three decimal places, (13)-(15):</t>
  </si>
  <si>
    <t xml:space="preserve">to capture less cross-price elasticity among insulin products (e.g., biologics may substitute less readily than small molecules do), i set the insulin brand own-price elasticity closer to 1:  = 1.1.  equilibrium equations (5)-(7) therefore specialize as, rounded to </t>
  </si>
  <si>
    <t xml:space="preserve"> decimal places, (13)-(15):</t>
  </si>
  <si>
    <t>to capture less cross-price elasticity among insulin products (e.g., biologics may substitute less readily than small molecules do), i set the insulin brand own-price elasticity closer to 1:  = 1.1.  equilibrium equations (5)-(7) therefore specialize as, rounded to three decimal places, (</t>
  </si>
  <si>
    <t>13</t>
  </si>
  <si>
    <t>)-(15):</t>
  </si>
  <si>
    <t>to capture less cross-price elasticity among insulin products (e.g., biologics may substitute less readily than small molecules do), i set the insulin brand own-price elasticity closer to 1:  = 1.1.  equilibrium equations (5)-(7) therefore specialize as, rounded to three decimal places, (13)-(</t>
  </si>
  <si>
    <t>where (</t>
  </si>
  <si>
    <t>) holds with equality under regulation.</t>
  </si>
  <si>
    <t xml:space="preserve">in its analysis of the part d rebate rule, oact concluded that </t>
  </si>
  <si>
    <t xml:space="preserve"> percent of the baseline rebate would go toward an increased net price.</t>
  </si>
  <si>
    <t xml:space="preserve">when the baseline rebate rate is </t>
  </si>
  <si>
    <t xml:space="preserve"> percent of gross drug cost, as i assume for insulin, that means a 45 percent increase in net price.</t>
  </si>
  <si>
    <t xml:space="preserve">when the baseline rebate rate is 75 percent of gross drug cost, as i assume for insulin, that means a </t>
  </si>
  <si>
    <t>45</t>
  </si>
  <si>
    <t xml:space="preserve"> percent increase in net price.</t>
  </si>
  <si>
    <t xml:space="preserve">for the oactx2 scenario, the net price increase is </t>
  </si>
  <si>
    <t xml:space="preserve">beginning from the baseline management cost parameter of c = </t>
  </si>
  <si>
    <t>, the regulatory increases in c that result in those net price changes are 0.016 and 0.050, respectively.</t>
  </si>
  <si>
    <t xml:space="preserve">beginning from the baseline management cost parameter of c = 0, the regulatory increases in c that result in those net price changes are </t>
  </si>
  <si>
    <t>0.016</t>
  </si>
  <si>
    <t xml:space="preserve"> and 0.050, respectively.</t>
  </si>
  <si>
    <t xml:space="preserve">beginning from the baseline management cost parameter of c = 0, the regulatory increases in c that result in those net price changes are 0.016 and </t>
  </si>
  <si>
    <t>0.050</t>
  </si>
  <si>
    <t>, respectively.</t>
  </si>
  <si>
    <t>it follows from (</t>
  </si>
  <si>
    <t>) that brand utilization falls 6.5 percent and 11.6 percent, respectively, in the two scenarios.</t>
  </si>
  <si>
    <t xml:space="preserve">it follows from (13) that brand utilization falls </t>
  </si>
  <si>
    <t>6.5</t>
  </si>
  <si>
    <t xml:space="preserve"> percent and 11.6 percent, respectively, in the two scenarios.</t>
  </si>
  <si>
    <t xml:space="preserve">it follows from (13) that brand utilization falls 6.5 percent and </t>
  </si>
  <si>
    <t>11.6</t>
  </si>
  <si>
    <t xml:space="preserve"> percent, respectively, in the two scenarios.</t>
  </si>
  <si>
    <t xml:space="preserve">it follows from (13) that brand utilization falls 6.5 percent and 11.6 percent, respectively, in the </t>
  </si>
  <si>
    <t xml:space="preserve"> scenarios.</t>
  </si>
  <si>
    <t xml:space="preserve">the retain-zero scenario assumes that the management cost parameter is increased by </t>
  </si>
  <si>
    <t>0.172</t>
  </si>
  <si>
    <t>, because that reduces manufacture discounts to the baseline amount of insulin cost sharing.</t>
  </si>
  <si>
    <t xml:space="preserve"> scenarios predict reductions in insulin list prices, even though the net and marginal prices increase (recall table 1a).</t>
  </si>
  <si>
    <t xml:space="preserve">all three scenarios predict reductions in insulin list prices, even though the net and marginal prices increase (recall table </t>
  </si>
  <si>
    <t>a).</t>
  </si>
  <si>
    <t xml:space="preserve">the regulatory impact on list prices is </t>
  </si>
  <si>
    <t>48</t>
  </si>
  <si>
    <t xml:space="preserve"> percent, 41 percent, and 36 percent according to the oact, oactx2 and retain-zero scenarios, respectively.</t>
  </si>
  <si>
    <t xml:space="preserve">the regulatory impact on list prices is 48 percent, </t>
  </si>
  <si>
    <t>41</t>
  </si>
  <si>
    <t xml:space="preserve"> percent, and 36 percent according to the oact, oactx2 and retain-zero scenarios, respectively.</t>
  </si>
  <si>
    <t xml:space="preserve">the regulatory impact on list prices is 48 percent, 41 percent, and </t>
  </si>
  <si>
    <t xml:space="preserve"> percent according to the oact, oactx2 and retain-zero scenarios, respectively.</t>
  </si>
  <si>
    <t>in the model (</t>
  </si>
  <si>
    <t>) with the g = 0 constraint relaxed and the parameter restrictions , brand prices increase generic consumption g, reduce brand consumption q = q, and reduce total consumption measured either as u(q,q,g) or q + q + g.  in other words, brands are not an inferior input in the treatment of health conditions.</t>
  </si>
  <si>
    <t xml:space="preserve">in the model (3) with the g = </t>
  </si>
  <si>
    <t xml:space="preserve"> constraint relaxed and the parameter restrictions , brand prices increase generic consumption g, reduce brand consumption q = q, and reduce total consumption measured either as u(q,q,g) or q + q + g.  in other words, brands are not an inferior input in the treatment of health conditions.</t>
  </si>
  <si>
    <t xml:space="preserve">despite the fact dm = dm &amp;gt; </t>
  </si>
  <si>
    <t xml:space="preserve"> shifts consumption from high marginal price drugs (brands with m = m &amp;gt; 1) to low marginal price drugs (generics with marginal price of one), the shift is not associated with an increase in the total.</t>
  </si>
  <si>
    <t xml:space="preserve">despite the fact dm = dm &amp;gt; 0 shifts consumption from high marginal price drugs (brands with m = m &amp;gt; </t>
  </si>
  <si>
    <t>) to low marginal price drugs (generics with marginal price of one), the shift is not associated with an increase in the total.</t>
  </si>
  <si>
    <t xml:space="preserve">despite the fact dm = dm &amp;gt; 0 shifts consumption from high marginal price drugs (brands with m = m &amp;gt; 1) to low marginal price drugs (generics with marginal price of </t>
  </si>
  <si>
    <t>), the shift is not associated with an increase in the total.</t>
  </si>
  <si>
    <t xml:space="preserve"> percent brand quantity effect, which by itself is a 0.50 percent change in aggregate utilization (brands are 10 percent of total scripts) translate to 0.35 percent for the entire market because 0.35 is 0.50 times first column the average of / and 1.</t>
  </si>
  <si>
    <t xml:space="preserve">for example, the 5.0 percent brand quantity effect, which by itself is a </t>
  </si>
  <si>
    <t>0.50</t>
  </si>
  <si>
    <t xml:space="preserve"> percent change in aggregate utilization (brands are 10 percent of total scripts) translate to 0.35 percent for the entire market because 0.35 is 0.50 times first column the average of / and 1.</t>
  </si>
  <si>
    <t xml:space="preserve">for example, the 5.0 percent brand quantity effect, which by itself is a 0.50 percent change in aggregate utilization (brands are </t>
  </si>
  <si>
    <t xml:space="preserve"> percent of total scripts) translate to 0.35 percent for the entire market because 0.35 is 0.50 times first column the average of / and 1.</t>
  </si>
  <si>
    <t xml:space="preserve">for example, the 5.0 percent brand quantity effect, which by itself is a 0.50 percent change in aggregate utilization (brands are 10 percent of total scripts) translate to </t>
  </si>
  <si>
    <t>0.35</t>
  </si>
  <si>
    <t xml:space="preserve"> percent for the entire market because 0.35 is 0.50 times first column the average of / and 1.</t>
  </si>
  <si>
    <t xml:space="preserve">for example, the 5.0 percent brand quantity effect, which by itself is a 0.50 percent change in aggregate utilization (brands are 10 percent of total scripts) translate to 0.35 percent for the entire market because </t>
  </si>
  <si>
    <t xml:space="preserve"> is 0.50 times first column the average of / and 1.</t>
  </si>
  <si>
    <t xml:space="preserve">for example, the 5.0 percent brand quantity effect, which by itself is a 0.50 percent change in aggregate utilization (brands are 10 percent of total scripts) translate to 0.35 percent for the entire market because 0.35 is </t>
  </si>
  <si>
    <t xml:space="preserve"> times first column the average of / and 1.</t>
  </si>
  <si>
    <t xml:space="preserve">for example, the 5.0 percent brand quantity effect, which by itself is a 0.50 percent change in aggregate utilization (brands are 10 percent of total scripts) translate to 0.35 percent for the entire market because 0.35 is 0.50 times first column the average of / and </t>
  </si>
  <si>
    <t xml:space="preserve">the former is increased by rebate rules while the latter is decreased (see table </t>
  </si>
  <si>
    <t>a), with the former dominating.</t>
  </si>
  <si>
    <t xml:space="preserve">each of these contributions to premiums is shown in the first </t>
  </si>
  <si>
    <t xml:space="preserve"> rows of table 2, expressed as a ratio to baseline rebate amounts by multiplying the corresponding entry in table 1a by (1/r1), where r is the baseline rebate rate.</t>
  </si>
  <si>
    <t xml:space="preserve">each of these contributions to premiums is shown in the first two rows of table </t>
  </si>
  <si>
    <t>, expressed as a ratio to baseline rebate amounts by multiplying the corresponding entry in table 1a by (1/r1), where r is the baseline rebate rate.</t>
  </si>
  <si>
    <t xml:space="preserve">each of these contributions to premiums is shown in the first two rows of table 2, expressed as a ratio to baseline rebate amounts by multiplying the corresponding entry in table </t>
  </si>
  <si>
    <t>a by (1/r1), where r is the baseline rebate rate.</t>
  </si>
  <si>
    <t xml:space="preserve">for example, a </t>
  </si>
  <si>
    <t xml:space="preserve"> percent reduction in brand utilization by itself reduces plan spending on brands by 5.0 percent.</t>
  </si>
  <si>
    <t xml:space="preserve">for example, a 5.0 percent reduction in brand utilization by itself reduces plan spending on brands by </t>
  </si>
  <si>
    <t xml:space="preserve">because baseline net brand spending differs from the brand rebate amounts by a factor of </t>
  </si>
  <si>
    <t>2.33</t>
  </si>
  <si>
    <t xml:space="preserve"> (1/0.31), an 11.6 (=5.0*2.33) percent reduction is shown in the second row of table 2.</t>
  </si>
  <si>
    <t xml:space="preserve">because baseline net brand spending differs from the brand rebate amounts by a factor of 2.33 (1/0.31), an </t>
  </si>
  <si>
    <t xml:space="preserve"> (=5.0*2.33) percent reduction is shown in the second row of table 2.</t>
  </si>
  <si>
    <t>because baseline net brand spending differs from the brand rebate amounts by a factor of 2.33 (1/0.31), an 11.6 (=</t>
  </si>
  <si>
    <t>*2.33) percent reduction is shown in the second row of table 2.</t>
  </si>
  <si>
    <t>because baseline net brand spending differs from the brand rebate amounts by a factor of 2.33 (1/0.31), an 11.6 (=5.0*</t>
  </si>
  <si>
    <t>) percent reduction is shown in the second row of table 2.</t>
  </si>
  <si>
    <t xml:space="preserve">because baseline net brand spending differs from the brand rebate amounts by a factor of 2.33 (1/0.31), an 11.6 (=5.0*2.33) percent reduction is shown in the second row of table </t>
  </si>
  <si>
    <t xml:space="preserve">added use of generics by itself increases plan spending (table </t>
  </si>
  <si>
    <t>’s third row), but less due to the lower net price of generics.</t>
  </si>
  <si>
    <t xml:space="preserve">added use of generics by itself increases plan spending (table 2’s </t>
  </si>
  <si>
    <t xml:space="preserve"> row), but less due to the lower net price of generics.</t>
  </si>
  <si>
    <t>th row accounts for the interaction between quantity and net price.</t>
  </si>
  <si>
    <t xml:space="preserve"> percent quantity reduction followed by a net price increase of 11.6 percent decrease, or vice versa, increases expenditure by less than 11.65.0 percent.</t>
  </si>
  <si>
    <t xml:space="preserve">for example, a 5.0 percent quantity reduction followed by a net price increase of </t>
  </si>
  <si>
    <t xml:space="preserve"> percent decrease, or vice versa, increases expenditure by less than 11.65.0 percent.</t>
  </si>
  <si>
    <t xml:space="preserve">for example, a 5.0 percent quantity reduction followed by a net price increase of 11.6 percent decrease, or vice versa, increases expenditure by less than </t>
  </si>
  <si>
    <t>.0 percent.</t>
  </si>
  <si>
    <t xml:space="preserve">the fifth row of table </t>
  </si>
  <si>
    <t xml:space="preserve"> shows the amount of the increase.</t>
  </si>
  <si>
    <t xml:space="preserve">the additional management costs in the </t>
  </si>
  <si>
    <t>th row show the effect of rebate rules on the management cost .</t>
  </si>
  <si>
    <t xml:space="preserve">the added medical costs shown in the </t>
  </si>
  <si>
    <t>th row of table 2 and the fourth row of table 1b are discussed in the appendix ii that follows.</t>
  </si>
  <si>
    <t xml:space="preserve">the added medical costs shown in the seventh row of table </t>
  </si>
  <si>
    <t xml:space="preserve">the added medical costs shown in the seventh row of table 2 and the </t>
  </si>
  <si>
    <t>th row of table 1b are discussed in the appendix ii that follows.</t>
  </si>
  <si>
    <t>b are discussed in the appendix ii that follows.</t>
  </si>
  <si>
    <t xml:space="preserve">summing the first </t>
  </si>
  <si>
    <t xml:space="preserve"> rows of table 2 shows the combined premium change resulting from rebate rules.</t>
  </si>
  <si>
    <t xml:space="preserve">summing the first seven rows of table </t>
  </si>
  <si>
    <t xml:space="preserve"> shows the combined premium change resulting from rebate rules.</t>
  </si>
  <si>
    <t xml:space="preserve">this “deadweight cost of tax distortions” is quantified in the fifth row of table </t>
  </si>
  <si>
    <t>b by multiplying table 2’s corresponding combined premium change by the share of premiums subsidized – i assume 74.5 percent for medicare part d and 83 percent for plans (including medicaid) providing insulin products – and by the marginal excess tax burden (0.5).</t>
  </si>
  <si>
    <t xml:space="preserve">this “deadweight cost of tax distortions” is quantified in the fifth row of table 1b by multiplying table </t>
  </si>
  <si>
    <t>’s corresponding combined premium change by the share of premiums subsidized – i assume 74.5 percent for medicare part d and 83 percent for plans (including medicaid) providing insulin products – and by the marginal excess tax burden (0.5).</t>
  </si>
  <si>
    <t xml:space="preserve">this “deadweight cost of tax distortions” is quantified in the fifth row of table 1b by multiplying table 2’s corresponding combined premium change by the share of premiums subsidized – i assume </t>
  </si>
  <si>
    <t>74.5</t>
  </si>
  <si>
    <t xml:space="preserve"> percent for medicare part d and 83 percent for plans (including medicaid) providing insulin products – and by the marginal excess tax burden (0.5).</t>
  </si>
  <si>
    <t xml:space="preserve">this “deadweight cost of tax distortions” is quantified in the fifth row of table 1b by multiplying table 2’s corresponding combined premium change by the share of premiums subsidized – i assume 74.5 percent for medicare part d and </t>
  </si>
  <si>
    <t>83</t>
  </si>
  <si>
    <t xml:space="preserve"> percent for plans (including medicaid) providing insulin products – and by the marginal excess tax burden (0.5).</t>
  </si>
  <si>
    <t>this “deadweight cost of tax distortions” is quantified in the fifth row of table 1b by multiplying table 2’s corresponding combined premium change by the share of premiums subsidized – i assume 74.5 percent for medicare part d and 83 percent for plans (including medicaid) providing insulin products – and by the marginal excess tax burden (</t>
  </si>
  <si>
    <t>the marginal excess tax burden” is widely used in academic policy analysis and is recommended by the white house office of management and budget (</t>
  </si>
  <si>
    <t>1992</t>
  </si>
  <si>
    <t>; 2003) for regulatory impact analysis.</t>
  </si>
  <si>
    <t xml:space="preserve">the marginal excess tax burden” is widely used in academic policy analysis and is recommended by the white house office of management and budget (1992; </t>
  </si>
  <si>
    <t>2003</t>
  </si>
  <si>
    <t>) for regulatory impact analysis.</t>
  </si>
  <si>
    <t>b uses a metb of 0.5 in order to reflect the various taxes, markups and implicit taxes in the economy where the tax liabilities accrue (council of economic advisers, march 2019).</t>
  </si>
  <si>
    <t xml:space="preserve">table 1b uses a metb of </t>
  </si>
  <si>
    <t xml:space="preserve"> in order to reflect the various taxes, markups and implicit taxes in the economy where the tax liabilities accrue (council of economic advisers, march 2019).</t>
  </si>
  <si>
    <t xml:space="preserve">table 1b uses a metb of 0.5 in order to reflect the various taxes, markups and implicit taxes in the economy where the tax liabilities accrue (council of economic advisers, march </t>
  </si>
  <si>
    <t xml:space="preserve">the foregone drug innovation row of table </t>
  </si>
  <si>
    <t>b is discussed in the appendix iii that follows.</t>
  </si>
  <si>
    <t>in order to assess the magnitude of anti-competitive effects of regulation in the market for pharmacy benefit management, i use the model (</t>
  </si>
  <si>
    <t>) to characterize a hypothetical market with a monopoly pbm.</t>
  </si>
  <si>
    <t>from equations (</t>
  </si>
  <si>
    <t>) and (7), the equilibrium gap between list price and marginal price is therefore:</t>
  </si>
  <si>
    <t>from equations (6) and (</t>
  </si>
  <si>
    <t>), the equilibrium gap between list price and marginal price is therefore:</t>
  </si>
  <si>
    <t xml:space="preserve">the proportional loss of industry surplus from having  maximizing economic profit rather than  = </t>
  </si>
  <si>
    <t>the proportional loss of industry surplus from having  maximizing economic profit rather than  = 0 must be in the interval (</t>
  </si>
  <si>
    <t>the proportional loss of industry surplus from having  maximizing economic profit rather than  = 0 must be in the interval (1/</t>
  </si>
  <si>
    <t>/12).</t>
  </si>
  <si>
    <t>the proportional loss of industry surplus from having  maximizing economic profit rather than  = 0 must be in the interval (1/45/</t>
  </si>
  <si>
    <t>if the equilibrium economic profits were fully dissipated as resource use, the loss interval would be (</t>
  </si>
  <si>
    <t>/81/2).</t>
  </si>
  <si>
    <t>if the equilibrium economic profits were fully dissipated as resource use, the loss interval would be (3/</t>
  </si>
  <si>
    <t>81</t>
  </si>
  <si>
    <t>/2).</t>
  </si>
  <si>
    <t>if the equilibrium economic profits were fully dissipated as resource use, the loss interval would be (3/81/</t>
  </si>
  <si>
    <t>kaestner and kahn (</t>
  </si>
  <si>
    <t>) examined the creation of medicare part d (the federal drug coverage program for the elderly), which increased elderly prescription utilization by about 35 percent.</t>
  </si>
  <si>
    <t xml:space="preserve">kaestner and kahn (2012) examined the creation of medicare part d (the federal drug coverage program for the elderly), which increased elderly prescription utilization by about </t>
  </si>
  <si>
    <t>35</t>
  </si>
  <si>
    <t xml:space="preserve">this finding is represented in figure a1 by placing q1 (drug utilization among the elderly with medicare part d but without the pbm regulations examined in this paper) </t>
  </si>
  <si>
    <t xml:space="preserve"> percent above q0 (drug utilization among the elderly before medicare part d).</t>
  </si>
  <si>
    <t>looking at the same medicare episode, kaestner, schiman and alexander (</t>
  </si>
  <si>
    <t>) estimate that the added rx utilization reduced inpatient hospital spending by about 6 percent over a three-year interval.</t>
  </si>
  <si>
    <t xml:space="preserve">looking at the same medicare episode, kaestner, schiman and alexander (2019) estimate that the added rx utilization reduced inpatient hospital spending by about </t>
  </si>
  <si>
    <t xml:space="preserve"> percent over a three-year interval.</t>
  </si>
  <si>
    <t xml:space="preserve">looking at the same medicare episode, kaestner, schiman and alexander (2019) estimate that the added rx utilization reduced inpatient hospital spending by about 6 percent over a </t>
  </si>
  <si>
    <t>-year interval.</t>
  </si>
  <si>
    <t xml:space="preserve">extrapolating to also include home health care, office visits, outpatient, and emergency room, i find </t>
  </si>
  <si>
    <t>9.7</t>
  </si>
  <si>
    <t xml:space="preserve"> percent of inpatient hospital spending.</t>
  </si>
  <si>
    <t xml:space="preserve">because kaestner et al do not attempt to allocate the savings between patients, plan, and </t>
  </si>
  <si>
    <t xml:space="preserve"> parties, the dollar equivalent of the 9.7 percent nonpharmacy savings is represented by the entire area of figure a1’s shape abcd, which is approximately (q1q0)h.</t>
  </si>
  <si>
    <t xml:space="preserve">because kaestner et al do not attempt to allocate the savings between patients, plan, and third parties, the dollar equivalent of the </t>
  </si>
  <si>
    <t xml:space="preserve"> percent nonpharmacy savings is represented by the entire area of figure a1’s shape abcd, which is approximately (q1q0)h.</t>
  </si>
  <si>
    <t>the second equality in (</t>
  </si>
  <si>
    <t>18</t>
  </si>
  <si>
    <t>) uses the values for  (0.097), and q1/q0 (1.35) calibrated as above.</t>
  </si>
  <si>
    <t>the second equality in (18) uses the values for  (</t>
  </si>
  <si>
    <t>0.097</t>
  </si>
  <si>
    <t>), and q1/q0 (1.35) calibrated as above.</t>
  </si>
  <si>
    <t>the second equality in (18) uses the values for  (0.097), and q1/q0 (</t>
  </si>
  <si>
    <t>1.35</t>
  </si>
  <si>
    <t>) calibrated as above.</t>
  </si>
  <si>
    <t xml:space="preserve">i calibrate h as </t>
  </si>
  <si>
    <t>1.9</t>
  </si>
  <si>
    <t>using the result (</t>
  </si>
  <si>
    <t>), the area defg, expressed as a share of baseline rx expenditure is (19):</t>
  </si>
  <si>
    <t>using the result (18), the area defg, expressed as a share of baseline rx expenditure is (</t>
  </si>
  <si>
    <t>19</t>
  </si>
  <si>
    <t>in other words, equation (</t>
  </si>
  <si>
    <t>) is my estimate of the cost to third parties (in the form of additional nonpharmacy medical costs) of reducing rx utilization from q1 to q2.</t>
  </si>
  <si>
    <t>equation (</t>
  </si>
  <si>
    <t>) essentially (i) rescales the kaestner, schiman and alexander (2019) estimate to fit the change from q1 to q2 rather than the 35 percent increase in their study and (ii) isolates the part of those costs falling on third parties.</t>
  </si>
  <si>
    <t>equation (19) essentially (i) rescales the kaestner, schiman and alexander (</t>
  </si>
  <si>
    <t>) estimate to fit the change from q1 to q2 rather than the 35 percent increase in their study and (ii) isolates the part of those costs falling on third parties.</t>
  </si>
  <si>
    <t xml:space="preserve">equation (19) essentially (i) rescales the kaestner, schiman and alexander (2019) estimate to fit the change from q1 to q2 rather than the </t>
  </si>
  <si>
    <t xml:space="preserve"> percent increase in their study and (ii) isolates the part of those costs falling on third parties.</t>
  </si>
  <si>
    <t>the area defg can alternatively be expressed as a share of the baseline rebate amount by rescaling equation (</t>
  </si>
  <si>
    <t>) by the ratio of net rx spending to the dollar amount of rebates paid in the corresponding segment.</t>
  </si>
  <si>
    <t xml:space="preserve">the quantity change q2/q1 comes from figure </t>
  </si>
  <si>
    <t xml:space="preserve"> and related analysis, as shown in the main text.</t>
  </si>
  <si>
    <t xml:space="preserve">the time frame retention is taken to be </t>
  </si>
  <si>
    <t>1.5</t>
  </si>
  <si>
    <t xml:space="preserve"> years because of my reliance on data that measures effects on inpatient health expenditures over a 3-year time interval.</t>
  </si>
  <si>
    <t xml:space="preserve">the time frame retention is taken to be 1.5 years because of my reliance on data that measures effects on inpatient health expenditures over a </t>
  </si>
  <si>
    <t>-year time interval.</t>
  </si>
  <si>
    <t>) shows the model of b based on these benefit parameters:</t>
  </si>
  <si>
    <t xml:space="preserve">for example, copayment rates were </t>
  </si>
  <si>
    <t xml:space="preserve"> percent, then b would be 0.  another way for b to be zero would be 100 percent retention and integration rates as well as equal benefit parameters for drug and nonpharmacy plans.</t>
  </si>
  <si>
    <t xml:space="preserve">for example, copayment rates were 100 percent, then b would be </t>
  </si>
  <si>
    <t xml:space="preserve">  another way for b to be zero would be 100 percent retention and integration rates as well as equal benefit parameters for drug and nonpharmacy plans.</t>
  </si>
  <si>
    <t xml:space="preserve">for example, copayment rates were 100 percent, then b would be 0.  another way for b to be </t>
  </si>
  <si>
    <t xml:space="preserve"> would be 100 percent retention and integration rates as well as equal benefit parameters for drug and nonpharmacy plans.</t>
  </si>
  <si>
    <t xml:space="preserve">for example, copayment rates were 100 percent, then b would be 0.  another way for b to be zero would be </t>
  </si>
  <si>
    <t xml:space="preserve"> percent retention and integration rates as well as equal benefit parameters for drug and nonpharmacy plans.</t>
  </si>
  <si>
    <t>the final row uses the estimates of b to estimate the factor (equation (</t>
  </si>
  <si>
    <t>)) for converting a regulation’s quantity effect into additional nonpharmacy claims financed by third parties.</t>
  </si>
  <si>
    <t xml:space="preserve">these results are used to construct the medical cost row in each of table </t>
  </si>
  <si>
    <t>b and table 2.</t>
  </si>
  <si>
    <t xml:space="preserve">these results are used to construct the medical cost row in each of table 1b and table </t>
  </si>
  <si>
    <t xml:space="preserve"> shows estimates of the entire area dehc while table 1b shows just the part defg accruing to third parties.</t>
  </si>
  <si>
    <t xml:space="preserve">table 2 shows estimates of the entire area dehc while table </t>
  </si>
  <si>
    <t>b shows just the part defg accruing to third parties.</t>
  </si>
  <si>
    <t>b multiplies the row (h) of table a1 by the “entire market” quantity change from table 1a.</t>
  </si>
  <si>
    <t xml:space="preserve">table 1b multiplies the row (h) of table a1 by the “entire market” quantity change from table </t>
  </si>
  <si>
    <t>a.</t>
  </si>
  <si>
    <t>) times the final entry in table a1’s row (h), rescaled by the ratio 4.2 of industry net spend (including generics) to rebates.</t>
  </si>
  <si>
    <t>4.2</t>
  </si>
  <si>
    <t xml:space="preserve"> of industry net spend (including generics) to rebates.</t>
  </si>
  <si>
    <t xml:space="preserve">the corresponding entry in table </t>
  </si>
  <si>
    <t>the corresponding entry in table 2 (</t>
  </si>
  <si>
    <t xml:space="preserve"> percent) is the entire addition to medical premiums – not just the part born by third parties – and therefore differs from table 1b by the factor of 0.085 shown in row (g) of table a1 and the share 0.102 of medical spending financed through health insurance premiums.</t>
  </si>
  <si>
    <t xml:space="preserve"> parties – and therefore differs from table 1b by the factor of 0.085 shown in row (g) of table a1 and the share 0.102 of medical spending financed through health insurance premiums.</t>
  </si>
  <si>
    <t>b by the factor of 0.085 shown in row (g) of table a1 and the share 0.102 of medical spending financed through health insurance premiums.</t>
  </si>
  <si>
    <t>0.085</t>
  </si>
  <si>
    <t xml:space="preserve"> shown in row (g) of table a1 and the share 0.102 of medical spending financed through health insurance premiums.</t>
  </si>
  <si>
    <t>0.102</t>
  </si>
  <si>
    <t xml:space="preserve"> of medical spending financed through health insurance premiums.</t>
  </si>
  <si>
    <t xml:space="preserve">the relative importance of these </t>
  </si>
  <si>
    <t xml:space="preserve"> outcomes varies across drugs according to their age and characteristics.</t>
  </si>
  <si>
    <t xml:space="preserve">unique new drugs are a small fraction of all drugs, as evidenced by the fact that </t>
  </si>
  <si>
    <t xml:space="preserve"> percent of drugs dispensed are generics.</t>
  </si>
  <si>
    <t xml:space="preserve">as a simple approximation to this reality, i assume that each drug goes through </t>
  </si>
  <si>
    <t xml:space="preserve"> phases of competition over its lifecycle.</t>
  </si>
  <si>
    <t xml:space="preserve">in the </t>
  </si>
  <si>
    <t xml:space="preserve"> phase, the patent is expired and generics have entered.</t>
  </si>
  <si>
    <t xml:space="preserve">the first </t>
  </si>
  <si>
    <t xml:space="preserve"> phases are assumed to last four years and 7.5 years, respectively.</t>
  </si>
  <si>
    <t xml:space="preserve">the first two phases are assumed to last </t>
  </si>
  <si>
    <t xml:space="preserve"> years and 7.5 years, respectively.</t>
  </si>
  <si>
    <t xml:space="preserve">the first two phases are assumed to last four years and </t>
  </si>
  <si>
    <t>7.5</t>
  </si>
  <si>
    <t xml:space="preserve"> years, respectively.</t>
  </si>
  <si>
    <t xml:space="preserve">potential innovators assess revenue trajectories using a </t>
  </si>
  <si>
    <t xml:space="preserve"> percent real annual discount rate.</t>
  </si>
  <si>
    <t xml:space="preserve">as discussed in connection with figure </t>
  </si>
  <si>
    <t>, regulatory policy affects market outcomes such as manufacturer revenue and apv by shifting the management cost curve.</t>
  </si>
  <si>
    <t>for each present value dollar of revenue that is redistributed from manufacturers to consumers, mulligan (</t>
  </si>
  <si>
    <t>) estimates a $0.41 social opportunity cost from less drug innovation.</t>
  </si>
  <si>
    <t>for each present value dollar of revenue that is redistributed from manufacturers to consumers, mulligan (2022) estimates a $</t>
  </si>
  <si>
    <t>0.41</t>
  </si>
  <si>
    <t xml:space="preserve"> social opportunity cost from less drug innovation.</t>
  </si>
  <si>
    <t xml:space="preserve">therefore the social opportunity cost, in the form of reduced drug innovation, of shifting the management cost curve is </t>
  </si>
  <si>
    <t xml:space="preserve"> times the impact of the cost shift on apv.</t>
  </si>
  <si>
    <t xml:space="preserve">these are the values shown in table </t>
  </si>
  <si>
    <t>b, expressed as a share of the baseline rebate amount.</t>
  </si>
  <si>
    <t xml:space="preserve">the equilibrium under monopoly is represented in figure </t>
  </si>
  <si>
    <t xml:space="preserve"> except that the inverse demand curve facing the monopolist is u(q,00)/q (recall equation (3)).</t>
  </si>
  <si>
    <t>the equilibrium under monopoly is represented in figure 1 except that the inverse demand curve facing the monopolist is u(q,00)/q (recall equation (</t>
  </si>
  <si>
    <t>)).</t>
  </si>
  <si>
    <t xml:space="preserve">whereas the market equilibrium model shown in figure </t>
  </si>
  <si>
    <t xml:space="preserve"> and appendix ii infers from the effect of regulation on manufacturer rebates that regulation increases the costs of benefit management, this appendix shows more specifically how regulation increases those costs and their effects on the division of labor between patients and plans.</t>
  </si>
  <si>
    <t>the model is an application of the “industry model” of jaffe et al (</t>
  </si>
  <si>
    <t>, p. chapter 11) and is closely related to the diamond and mirrlees’ (1971) analysis of production efficiency.</t>
  </si>
  <si>
    <t>Chapter reference</t>
  </si>
  <si>
    <t xml:space="preserve">the model is an application of the “industry model” of jaffe et al (2019, p. chapter </t>
  </si>
  <si>
    <t>) and is closely related to the diamond and mirrlees’ (1971) analysis of production efficiency.</t>
  </si>
  <si>
    <t>the model is an application of the “industry model” of jaffe et al (2019, p. chapter 11) and is closely related to the diamond and mirrlees’ (</t>
  </si>
  <si>
    <t>1971</t>
  </si>
  <si>
    <t>) analysis of production efficiency.</t>
  </si>
  <si>
    <t xml:space="preserve"> factors can be substitutes, complements, or neither.</t>
  </si>
  <si>
    <t xml:space="preserve">f is assumed to exhibit constant returns in the </t>
  </si>
  <si>
    <t xml:space="preserve"> inputs.</t>
  </si>
  <si>
    <t xml:space="preserve">the parameter s  </t>
  </si>
  <si>
    <t xml:space="preserve"> represents distortions creating a gap between the joint marginal cost m + f() and the marginal cost reflected in decisions.</t>
  </si>
  <si>
    <t xml:space="preserve">the parameter t  </t>
  </si>
  <si>
    <t xml:space="preserve"> represents distortions that discourage the use of plan inputs.</t>
  </si>
  <si>
    <t xml:space="preserve">note that, with </t>
  </si>
  <si>
    <t xml:space="preserve"> exception cited below, no restrictions are placed on the magnitudes of the slopes of d() or the derived demand functions, other than the usual hicksian restrictions (homogeneity, etc.).</t>
  </si>
  <si>
    <t xml:space="preserve">take dr &amp;gt; </t>
  </si>
  <si>
    <t>, for example, which means that it is more expensive for plans to supply their factors.</t>
  </si>
  <si>
    <t xml:space="preserve">dt &amp;gt; </t>
  </si>
  <si>
    <t xml:space="preserve"> has a similar effect: plans behave as if it is more expensive to supply their factors, and therefore supply less.</t>
  </si>
  <si>
    <t>an important application of the model (</t>
  </si>
  <si>
    <t>26</t>
  </si>
  <si>
    <t>) of the division of labor in the pharmaceutical supply chain is the effect of patent expirations on aggregate utilization of the erstwhile-patented drug.</t>
  </si>
  <si>
    <t xml:space="preserve">as generics enter, plans’ acquisition costs fall (dm &amp;lt; </t>
  </si>
  <si>
    <t xml:space="preserve">but manufacturer and plan efforts to expand sales may be less profitable at the generic prices, which in my notation is dt &amp;gt; </t>
  </si>
  <si>
    <t xml:space="preserve">  empirically, this latter effect kdt on the marginal cost driving behavior appears to be close enough in magnitude to dm that it is difficult to detect any market-wide increase in utilization when patents expire (lakdawalla &amp;amp; philipson, 2012).</t>
  </si>
  <si>
    <t xml:space="preserve">but manufacturer and plan efforts to expand sales may be less profitable at the generic prices, which in my notation is dt &amp;gt; 0.  empirically, this latter effect kdt on the marginal cost driving behavior appears to be close enough in magnitude to dm that it is difficult to detect any market-wide increase in utilization when patents expire (lakdawalla &amp;amp; philipson, </t>
  </si>
  <si>
    <t>the food and drug administration (</t>
  </si>
  <si>
    <t>) cites the lack of supplier financial incentives as “root cause 1” for drug shortages.</t>
  </si>
  <si>
    <t xml:space="preserve">the food and drug administration (2020) cites the lack of supplier financial incentives as “root cause </t>
  </si>
  <si>
    <t>” for drug shortages.</t>
  </si>
  <si>
    <t xml:space="preserve">such rules can be modeled as dt &amp;gt; </t>
  </si>
  <si>
    <t xml:space="preserve"> and ds &amp;gt; 0.  the dt condition represents the removal of funds – the manufacturer rebates and pharmacy discounts – that were received by plans and tied to utilization.</t>
  </si>
  <si>
    <t xml:space="preserve">such rules can be modeled as dt &amp;gt; 0 and ds &amp;gt; </t>
  </si>
  <si>
    <t xml:space="preserve">  the dt condition represents the removal of funds – the manufacturer rebates and pharmacy discounts – that were received by plans and tied to utilization.</t>
  </si>
  <si>
    <t xml:space="preserve">that is, ds &amp;gt; </t>
  </si>
  <si>
    <t xml:space="preserve"> represents lower patient cost sharing.</t>
  </si>
  <si>
    <t xml:space="preserve">in other words, funds that make prescriptions cheaper for the patient (s &amp;gt; </t>
  </si>
  <si>
    <t>) come at the expense of plans (t &amp;gt; 0).</t>
  </si>
  <si>
    <t xml:space="preserve">in other words, funds that make prescriptions cheaper for the patient (s &amp;gt; 0) come at the expense of plans (t &amp;gt; </t>
  </si>
  <si>
    <t xml:space="preserve">i assume that an increase in s must be associated with an increase in t, which must be true near s = t = </t>
  </si>
  <si>
    <t xml:space="preserve"> and more broadly restricts the derivatives of k() to rule out the possibility that these “taxes” are on the wrong side of the laffer curve.</t>
  </si>
  <si>
    <t>the final equality of (</t>
  </si>
  <si>
    <t>28</t>
  </si>
  <si>
    <t>) is derived by making two substitutions.</t>
  </si>
  <si>
    <t xml:space="preserve">the final equality of (28) is derived by making </t>
  </si>
  <si>
    <t xml:space="preserve"> substitutions.</t>
  </si>
  <si>
    <t>the first substitution is f/r = k(r,w), which is shephard’s lemma applied to the definition (</t>
  </si>
  <si>
    <t>) of derived demand.</t>
  </si>
  <si>
    <t>the second comes from the restriction on ds coming from the budget constraint (</t>
  </si>
  <si>
    <t>27</t>
  </si>
  <si>
    <t xml:space="preserve">where the inequality is strict when s &amp;gt; </t>
  </si>
  <si>
    <t xml:space="preserve">the redistribution increases the marginal cost of benefit management, which is the same conclusion reached in figure </t>
  </si>
  <si>
    <t xml:space="preserve"> and appendix i, albeit by different methods.</t>
  </si>
  <si>
    <t>the regulatory-induced shift in marginal cost represented by the rhs of equation (</t>
  </si>
  <si>
    <t>) can also be demonstrated graphically, as in figure a2.</t>
  </si>
  <si>
    <t>), the quantity increases if and only if marginal cost declines, which in figure a2 means that an intercept moves closer to the origin.</t>
  </si>
  <si>
    <t xml:space="preserve">note that the increase f(r+t,w)  f(r,w) in marginal cost has </t>
  </si>
  <si>
    <t xml:space="preserve"> components: (i) the average tax revenue per unit tk/f and (ii) the reduced productivity of production inputs due to their distorted composition.</t>
  </si>
  <si>
    <t>if the revenue tk is kept within the system, as required by equation (</t>
  </si>
  <si>
    <t>), then the increase in marginal cost has only the second component.</t>
  </si>
  <si>
    <t>algebraically, that is the budget constraint (</t>
  </si>
  <si>
    <t xml:space="preserve">geometrically that means that net marginal cost is below the point t in figure </t>
  </si>
  <si>
    <t xml:space="preserve"> although above what marginal cost would be without any factor distortion.</t>
  </si>
  <si>
    <t>the inequality (</t>
  </si>
  <si>
    <t>) is strict if s &amp;gt; 0.</t>
  </si>
  <si>
    <t xml:space="preserve">the inequality (29) is strict if s &amp;gt; </t>
  </si>
  <si>
    <t>pharmacy dir regulation is analyzed with the same algebraic structure (</t>
  </si>
  <si>
    <t>)-(8) that is used for rebate rules, but with  and  referring to firm- and industry-level elasticities of demand for retail pharmacy services.</t>
  </si>
  <si>
    <t>pharmacy dir regulation is analyzed with the same algebraic structure (5)-(</t>
  </si>
  <si>
    <t>) that is used for rebate rules, but with  and  referring to firm- and industry-level elasticities of demand for retail pharmacy services.</t>
  </si>
  <si>
    <t xml:space="preserve">and </t>
  </si>
  <si>
    <t xml:space="preserve"> refer to the division of the surplus from plans’ contracts with pharmacies rather than their contracts with manufacturers.</t>
  </si>
  <si>
    <t xml:space="preserve">the industry-level elasticity of retail pharmacy services might be closer to </t>
  </si>
  <si>
    <t xml:space="preserve"> than the industry-level elasticity for a typical prescription drug because pharmacies are just a part of the overall prescription-drug supply chain.</t>
  </si>
  <si>
    <t xml:space="preserve">the firm-level elasticities can also be different between the </t>
  </si>
  <si>
    <t xml:space="preserve"> markets because of the different roles of patents, geographic location, and other factors that differentiate sellers.</t>
  </si>
  <si>
    <t>instead, i use my estimate of the discount rate (</t>
  </si>
  <si>
    <t xml:space="preserve"> percent) and the model’s prediction (8) to partially identify the model’s parameters.</t>
  </si>
  <si>
    <t>instead, i use my estimate of the discount rate (30 percent) and the model’s prediction (</t>
  </si>
  <si>
    <t>) to partially identify the model’s parameters.</t>
  </si>
  <si>
    <t xml:space="preserve">namely, with r = </t>
  </si>
  <si>
    <t>0.3</t>
  </si>
  <si>
    <t>, the demand parameters must be in the set:</t>
  </si>
  <si>
    <t>in order to be conservative as to how much the list prices for pharmacy retail services are marked up over their full marginal cost, while remaining in the set (</t>
  </si>
  <si>
    <t>), the dir-regulation estimates in this paper use the point estimate  = 1.5.  i set  = 1.125, which is at the midpoint of the interval [1.5, 0.75) conditionally required by (30).</t>
  </si>
  <si>
    <t xml:space="preserve">in order to be conservative as to how much the list prices for pharmacy retail services are marked up over their full marginal cost, while remaining in the set (30), the dir-regulation estimates in this paper use the point estimate  = </t>
  </si>
  <si>
    <t>.  i set  = 1.125, which is at the midpoint of the interval [1.5, 0.75) conditionally required by (30).</t>
  </si>
  <si>
    <t xml:space="preserve">in order to be conservative as to how much the list prices for pharmacy retail services are marked up over their full marginal cost, while remaining in the set (30), the dir-regulation estimates in this paper use the point estimate  = 1.5.  i set  = </t>
  </si>
  <si>
    <t>1.125</t>
  </si>
  <si>
    <t>, which is at the midpoint of the interval [1.5, 0.75) conditionally required by (30).</t>
  </si>
  <si>
    <t>0.75</t>
  </si>
  <si>
    <t>in order to be conservative as to how much the list prices for pharmacy retail services are marked up over their full marginal cost, while remaining in the set (30), the dir-regulation estimates in this paper use the point estimate  = 1.5.  i set  = 1.125, which is at the midpoint of the interval [1.5, 0.75) conditionally required by (</t>
  </si>
  <si>
    <t>), the equilibrium marginal price m of pharmacy services is:</t>
  </si>
  <si>
    <t xml:space="preserve">any regulatory impact dm is translated into a proportional impact on the marginal price of prescription drugs (both branded and generic) by scaling dm by the ratio of </t>
  </si>
  <si>
    <t>0.15</t>
  </si>
  <si>
    <t xml:space="preserve"> to the baseline net price of retail pharmacy services times 0.62.</t>
  </si>
  <si>
    <t xml:space="preserve">any regulatory impact dm is translated into a proportional impact on the marginal price of prescription drugs (both branded and generic) by scaling dm by the ratio of 0.15 to the baseline net price of retail pharmacy services times </t>
  </si>
  <si>
    <t>0.62</t>
  </si>
  <si>
    <t xml:space="preserve">the elasticity of prescription utilization with respect to the marginal price of prescriptions is assumed to be </t>
  </si>
  <si>
    <t>reduced drug utilization is assumed to reduce brand-manufacturer revenues proportionally, with each dollar imposing a $</t>
  </si>
  <si>
    <t xml:space="preserve"> social opportunity cost in the form of a reduced pace of drug innovation (appendix iii).</t>
  </si>
  <si>
    <t>it is currently unclear whether the hhs rebate rule (</t>
  </si>
  <si>
    <t xml:space="preserve"> fr 2360) would permit plans and pbms to retain discounts over and above cost sharing.</t>
  </si>
  <si>
    <t xml:space="preserve">it is currently unclear whether the hhs rebate rule (84 fr </t>
  </si>
  <si>
    <t>) would permit plans and pbms to retain discounts over and above cost sharing.</t>
  </si>
  <si>
    <t xml:space="preserve">the state of west virginia implemented its own rebate rule allowing that “[a]ny rebate over and above the defined cost sharing would then be passed on to the health plan to reduce premiums” (section </t>
  </si>
  <si>
    <t>33</t>
  </si>
  <si>
    <t>-51-9 of the west virginia code).</t>
  </si>
  <si>
    <t>http://www.wvlegislature.gov/wvcode/chapterentire.cfm?chap=33&amp;art=51&amp;section=9</t>
  </si>
  <si>
    <t>the state of west virginia implemented its own rebate rule allowing that “[a]ny rebate over and above the defined cost sharing would then be passed on to the health plan to reduce premiums” (section 33</t>
  </si>
  <si>
    <t>-51</t>
  </si>
  <si>
    <t>-9 of the west virginia code).</t>
  </si>
  <si>
    <t>the state of west virginia implemented its own rebate rule allowing that “[a]ny rebate over and above the defined cost sharing would then be passed on to the health plan to reduce premiums” (section 33-51</t>
  </si>
  <si>
    <t xml:space="preserve"> of the west virginia code).</t>
  </si>
  <si>
    <t xml:space="preserve">these are </t>
  </si>
  <si>
    <t xml:space="preserve"> reasons why rebate rules might reduce utilization more than estimated in this paper.</t>
  </si>
  <si>
    <t>for example, van nuys et al (</t>
  </si>
  <si>
    <t>) find that “between 2014 and 2018, mean list prices of 32 insulin products increased by 40.1% … while mean net prices received by manufacturers decreased by 30.8%....”</t>
  </si>
  <si>
    <t xml:space="preserve">for example, van nuys et al (2021) find that “between </t>
  </si>
  <si>
    <t xml:space="preserve"> and 2018, mean list prices of 32 insulin products increased by 40.1% … while mean net prices received by manufacturers decreased by 30.8%....”</t>
  </si>
  <si>
    <t xml:space="preserve">for example, van nuys et al (2021) find that “between 2014 and </t>
  </si>
  <si>
    <t>, mean list prices of 32 insulin products increased by 40.1% … while mean net prices received by manufacturers decreased by 30.8%....”</t>
  </si>
  <si>
    <t xml:space="preserve">for example, van nuys et al (2021) find that “between 2014 and 2018, mean list prices of </t>
  </si>
  <si>
    <t>32</t>
  </si>
  <si>
    <t xml:space="preserve"> insulin products increased by 40.1% … while mean net prices received by manufacturers decreased by 30.8%....”</t>
  </si>
  <si>
    <t xml:space="preserve">for example, van nuys et al (2021) find that “between 2014 and 2018, mean list prices of 32 insulin products increased by </t>
  </si>
  <si>
    <t>40.1</t>
  </si>
  <si>
    <t>% … while mean net prices received by manufacturers decreased by 30.8%....”</t>
  </si>
  <si>
    <t xml:space="preserve">for example, van nuys et al (2021) find that “between 2014 and 2018, mean list prices of 32 insulin products increased by 40.1% … while mean net prices received by manufacturers decreased by </t>
  </si>
  <si>
    <t>30.8</t>
  </si>
  <si>
    <t>%....”</t>
  </si>
  <si>
    <t xml:space="preserve"> national health accounts report that 13.3 percent of net drug spending is financed out of pocket.</t>
  </si>
  <si>
    <t xml:space="preserve">the 2020 national health accounts report that </t>
  </si>
  <si>
    <t>13.3</t>
  </si>
  <si>
    <t xml:space="preserve"> percent of net drug spending is financed out of pocket.</t>
  </si>
  <si>
    <t xml:space="preserve">assuming a </t>
  </si>
  <si>
    <t xml:space="preserve"> percent rebate rate for the entire market, 13.3 percent of net spend corresponds to 10.1 percent of gross spending, which is the same percentage i assume describes part d.  cubanski and neuman (2019) estimate that part d enrollees paid $968 million out of pocket for insulin when part d gross insulin costs were $12.1 billion.</t>
  </si>
  <si>
    <t xml:space="preserve">assuming a 24 percent rebate rate for the entire market, </t>
  </si>
  <si>
    <t xml:space="preserve"> percent of net spend corresponds to 10.1 percent of gross spending, which is the same percentage i assume describes part d.  cubanski and neuman (2019) estimate that part d enrollees paid $968 million out of pocket for insulin when part d gross insulin costs were $12.1 billion.</t>
  </si>
  <si>
    <t xml:space="preserve">assuming a 24 percent rebate rate for the entire market, 13.3 percent of net spend corresponds to </t>
  </si>
  <si>
    <t xml:space="preserve"> percent of gross spending, which is the same percentage i assume describes part d.  cubanski and neuman (2019) estimate that part d enrollees paid $968 million out of pocket for insulin when part d gross insulin costs were $12.1 billion.</t>
  </si>
  <si>
    <t>assuming a 24 percent rebate rate for the entire market, 13.3 percent of net spend corresponds to 10.1 percent of gross spending, which is the same percentage i assume describes part d.  cubanski and neuman (</t>
  </si>
  <si>
    <t>) estimate that part d enrollees paid $968 million out of pocket for insulin when part d gross insulin costs were $12.1 billion.</t>
  </si>
  <si>
    <t>assuming a 24 percent rebate rate for the entire market, 13.3 percent of net spend corresponds to 10.1 percent of gross spending, which is the same percentage i assume describes part d.  cubanski and neuman (2019) estimate that part d enrollees paid $</t>
  </si>
  <si>
    <t>968</t>
  </si>
  <si>
    <t xml:space="preserve"> million out of pocket for insulin when part d gross insulin costs were $12.1 billion.</t>
  </si>
  <si>
    <t>assuming a 24 percent rebate rate for the entire market, 13.3 percent of net spend corresponds to 10.1 percent of gross spending, which is the same percentage i assume describes part d.  cubanski and neuman (2019) estimate that part d enrollees paid $968 million out of pocket for insulin when part d gross insulin costs were $</t>
  </si>
  <si>
    <t>12.1</t>
  </si>
  <si>
    <t xml:space="preserve">i assume that the same out of pocket ratio of </t>
  </si>
  <si>
    <t>0.08</t>
  </si>
  <si>
    <t xml:space="preserve"> applies to the insulin market as a whole.</t>
  </si>
  <si>
    <t xml:space="preserve">i assume a </t>
  </si>
  <si>
    <t xml:space="preserve"> percent generic script share for insulin markets, as compared to 90 percent for drugs generally.</t>
  </si>
  <si>
    <t xml:space="preserve">i assume a 15 percent generic script share for insulin markets, as compared to </t>
  </si>
  <si>
    <t xml:space="preserve"> percent is the product of humalog’s share of part d users (cubanski, neuman, et al 2020) and the share of part d humalog claims that were for the authorized generic (hayes 2022).</t>
  </si>
  <si>
    <t xml:space="preserve">15 percent is the product of humalog’s share of part d users (cubanski, neuman, et al </t>
  </si>
  <si>
    <t>) and the share of part d humalog claims that were for the authorized generic (hayes 2022).</t>
  </si>
  <si>
    <t xml:space="preserve">15 percent is the product of humalog’s share of part d users (cubanski, neuman, et al 2020) and the share of part d humalog claims that were for the authorized generic (hayes </t>
  </si>
  <si>
    <t xml:space="preserve">recall from table </t>
  </si>
  <si>
    <t>a that the baseline rebate rates are greater for insulin than part d drugs generally.</t>
  </si>
  <si>
    <t xml:space="preserve">the approximate linearity of results across scenarios allows readers to approximate results for additional scenarios that are between any </t>
  </si>
  <si>
    <t xml:space="preserve"> of oact, oactx2, retain zero (interpolation) or to extrapolate outside that range.</t>
  </si>
  <si>
    <t xml:space="preserve">the approximately linearity holds in table </t>
  </si>
  <si>
    <t>a, the first four rows of table 1b, the drug innovation row of table 1b, and the first four rows of table 2.</t>
  </si>
  <si>
    <t>b, the drug innovation row of table 1b, and the first four rows of table 2.</t>
  </si>
  <si>
    <t>b, and the first four rows of table 2.</t>
  </si>
  <si>
    <t xml:space="preserve">baseline cost sharing per rebate dollar is less in insulin markets than prescriptions generally, which is why the rebate-shifting row of table </t>
  </si>
  <si>
    <t xml:space="preserve"> shows less in the insulin-act columns.</t>
  </si>
  <si>
    <t xml:space="preserve"> inflation reduction act changes the part d reinsurance subsidies but further regulates cost sharing, such as imposing a $2000 annual cap per enrollee.</t>
  </si>
  <si>
    <t>the 2022 inflation reduction act changes the part d reinsurance subsidies but further regulates cost sharing, such as imposing a $</t>
  </si>
  <si>
    <t>2000</t>
  </si>
  <si>
    <t xml:space="preserve"> annual cap per enrollee.</t>
  </si>
  <si>
    <t xml:space="preserve">oact concluded that the hhs rebate rule would increase drug-plan premiums by </t>
  </si>
  <si>
    <t xml:space="preserve"> percent (84 fr 2358) and federal part d spending by $19.6 billion per year.</t>
  </si>
  <si>
    <t>oact concluded that the hhs rebate rule would increase drug-plan premiums by 25 percent (</t>
  </si>
  <si>
    <t xml:space="preserve"> fr 2358) and federal part d spending by $19.6 billion per year.</t>
  </si>
  <si>
    <t xml:space="preserve">oact concluded that the hhs rebate rule would increase drug-plan premiums by 25 percent (84 fr </t>
  </si>
  <si>
    <t>2358</t>
  </si>
  <si>
    <t>) and federal part d spending by $19.6 billion per year.</t>
  </si>
  <si>
    <t>oact concluded that the hhs rebate rule would increase drug-plan premiums by 25 percent (84 fr 2358) and federal part d spending by $</t>
  </si>
  <si>
    <t>19.6</t>
  </si>
  <si>
    <t xml:space="preserve"> billion per year.</t>
  </si>
  <si>
    <t xml:space="preserve">a key difference between their analysis and the oact scenario in table </t>
  </si>
  <si>
    <t xml:space="preserve"> is that i assume that rebates cannot be fully shifted to the point of sale because cost sharing cannot be negative.</t>
  </si>
  <si>
    <t xml:space="preserve">this by itself results in less premium increase (my table </t>
  </si>
  <si>
    <t xml:space="preserve"> shows 17 percent for the oact scenario) and less added federal spending.</t>
  </si>
  <si>
    <t xml:space="preserve">this by itself results in less premium increase (my table 2 shows </t>
  </si>
  <si>
    <t xml:space="preserve"> percent for the oact scenario) and less added federal spending.</t>
  </si>
  <si>
    <t xml:space="preserve">the latter dominates for the purposes of determining aggregate expenditure on branded drugs (see the first and </t>
  </si>
  <si>
    <t xml:space="preserve"> rows of table 1a), because most of those drugs are beyond the early patent phase where benefit management is increasing profit through added utilization.</t>
  </si>
  <si>
    <t xml:space="preserve">the latter dominates for the purposes of determining aggregate expenditure on branded drugs (see the first and third rows of table </t>
  </si>
  <si>
    <t>a), because most of those drugs are beyond the early patent phase where benefit management is increasing profit through added utilization.</t>
  </si>
  <si>
    <t xml:space="preserve">formally, generics and brands can be understood as </t>
  </si>
  <si>
    <t xml:space="preserve"> distinct but substitutable inputs into treating a health condition.</t>
  </si>
  <si>
    <t xml:space="preserve">shephard’s lemma says that the overall expense of treating the condition increasing in each of the (marginal) prices no matter how much substitution any </t>
  </si>
  <si>
    <t xml:space="preserve"> price increase might induce.</t>
  </si>
  <si>
    <t>see also jaffe et al (</t>
  </si>
  <si>
    <t>, chapter 13).</t>
  </si>
  <si>
    <t xml:space="preserve">see also jaffe et al (2019, chapter </t>
  </si>
  <si>
    <t>both the department of justice and the ftc (</t>
  </si>
  <si>
    <t>) note that anti-competitive effects are likely when data is disclosed for individual sellers (pbms in this case) or that aggregate data is disclosed for which an individual seller contributes more than 25 percent to the aggregate.</t>
  </si>
  <si>
    <t xml:space="preserve">both the department of justice and the ftc (1996) note that anti-competitive effects are likely when data is disclosed for individual sellers (pbms in this case) or that aggregate data is disclosed for which an individual seller contributes more than </t>
  </si>
  <si>
    <t>once we recognize that pbm regulations are often business-to-business price regulations, this high regulatory risk-reward ratio is an illustration of a general principle articulated in the office of management and budget’s (</t>
  </si>
  <si>
    <t>) circular a-4 that imposing price regulations would, “in light of both economic theory and actual experience,” require a “particularly demanding burden of proof.”</t>
  </si>
  <si>
    <t xml:space="preserve">in terms of figure </t>
  </si>
  <si>
    <t>, the marginal cost curves shift up, reducing the quantities of both branded and generic prescriptions.</t>
  </si>
  <si>
    <t>specifically, cms reports that pharmacy dir in the part d segment is about $</t>
  </si>
  <si>
    <t xml:space="preserve"> billion annually (87 fr 27834).</t>
  </si>
  <si>
    <t>specifically, cms reports that pharmacy dir in the part d segment is about $9 billion annually (</t>
  </si>
  <si>
    <t xml:space="preserve"> fr 27834).</t>
  </si>
  <si>
    <t xml:space="preserve">specifically, cms reports that pharmacy dir in the part d segment is about $9 billion annually (87 fr </t>
  </si>
  <si>
    <t>27834</t>
  </si>
  <si>
    <t>with net pharmacy revenue of about $</t>
  </si>
  <si>
    <t xml:space="preserve"> billion in the part d segment (sood et al (2017) estimate that net pharmacy revenue is 15 percent of net spending on prescriptions), the 30 percent discount rate is 9/(9+21).</t>
  </si>
  <si>
    <t>with net pharmacy revenue of about $21 billion in the part d segment (sood et al (</t>
  </si>
  <si>
    <t>) estimate that net pharmacy revenue is 15 percent of net spending on prescriptions), the 30 percent discount rate is 9/(9+21).</t>
  </si>
  <si>
    <t xml:space="preserve">with net pharmacy revenue of about $21 billion in the part d segment (sood et al (2017) estimate that net pharmacy revenue is </t>
  </si>
  <si>
    <t xml:space="preserve"> percent of net spending on prescriptions), the 30 percent discount rate is 9/(9+21).</t>
  </si>
  <si>
    <t xml:space="preserve">with net pharmacy revenue of about $21 billion in the part d segment (sood et al (2017) estimate that net pharmacy revenue is 15 percent of net spending on prescriptions), the </t>
  </si>
  <si>
    <t xml:space="preserve"> percent discount rate is 9/(9+21).</t>
  </si>
  <si>
    <t xml:space="preserve">with net pharmacy revenue of about $21 billion in the part d segment (sood et al (2017) estimate that net pharmacy revenue is 15 percent of net spending on prescriptions), the 30 percent discount rate is </t>
  </si>
  <si>
    <t>/(9+21).</t>
  </si>
  <si>
    <t>with net pharmacy revenue of about $21 billion in the part d segment (sood et al (2017) estimate that net pharmacy revenue is 15 percent of net spending on prescriptions), the 30 percent discount rate is 9/(</t>
  </si>
  <si>
    <t>+21).</t>
  </si>
  <si>
    <t>with net pharmacy revenue of about $21 billion in the part d segment (sood et al (2017) estimate that net pharmacy revenue is 15 percent of net spending on prescriptions), the 30 percent discount rate is 9/(9</t>
  </si>
  <si>
    <t>+21</t>
  </si>
  <si>
    <t xml:space="preserve">lacking data on pharmacy dir in the commercial segment, i assume that the </t>
  </si>
  <si>
    <t xml:space="preserve"> percent rate applies throughout the industry (albeit to a lesser dollar amount outside part d).</t>
  </si>
  <si>
    <t xml:space="preserve">therefore, the pbm transparency act costs and benefits should not be added between the </t>
  </si>
  <si>
    <t xml:space="preserve"> sections.</t>
  </si>
  <si>
    <t xml:space="preserve">if the baseline includes manufacturer rebate rules that have already driven cost sharing down to </t>
  </si>
  <si>
    <t xml:space="preserve"> (recall table 2’s regulated cost-sharing row), then plans and pbms retain all pharmacy dir under either the pbm transparency act or the cms rule.</t>
  </si>
  <si>
    <t xml:space="preserve">if the baseline includes manufacturer rebate rules that have already driven cost sharing down to zero (recall table </t>
  </si>
  <si>
    <t>’s regulated cost-sharing row), then plans and pbms retain all pharmacy dir under either the pbm transparency act or the cms rule.</t>
  </si>
  <si>
    <t xml:space="preserve">to extrapolate to the entire industry, i assume that part d has </t>
  </si>
  <si>
    <t>50</t>
  </si>
  <si>
    <t xml:space="preserve"> percent more pharmacy dir per dollar of net drug spend than the entire market does.</t>
  </si>
  <si>
    <t xml:space="preserve">the text shows discount rates to the nearest </t>
  </si>
  <si>
    <t xml:space="preserve"> percent, whereas the calculations producing the table preserve as many decimal places as microsoft excel allows.</t>
  </si>
  <si>
    <t>the minnesota department of human services (</t>
  </si>
  <si>
    <t>) also concluded that “classifying plan-provider contracts as public data would offer little benefit but could pose substantial risk of reducing competition in health care markets.</t>
  </si>
  <si>
    <t xml:space="preserve">these conditions may also be set forth by section </t>
  </si>
  <si>
    <t xml:space="preserve"> of the pbm transparency act, depending on if and how the disclosed data is presented to the public or to competitors.</t>
  </si>
  <si>
    <t xml:space="preserve">among the external costs shown in the rebate-rule tables </t>
  </si>
  <si>
    <t>b and 2 are tax distortions associated with government financing of increase drug-plan premiums.</t>
  </si>
  <si>
    <t xml:space="preserve">among the external costs shown in the rebate-rule tables 1b and </t>
  </si>
  <si>
    <t xml:space="preserve"> are tax distortions associated with government financing of increase drug-plan premiums.</t>
  </si>
  <si>
    <t xml:space="preserve">that part of net cost is therefore excluded from the external-cost row of table </t>
  </si>
  <si>
    <t>burns (</t>
  </si>
  <si>
    <t>, chapter 10) provides a history of pbm innovations.</t>
  </si>
  <si>
    <t xml:space="preserve">burns (2022, chapter </t>
  </si>
  <si>
    <t>) provides a history of pbm innovations.</t>
  </si>
  <si>
    <t xml:space="preserve">burns points out (p. </t>
  </si>
  <si>
    <t>603</t>
  </si>
  <si>
    <t>) that, among other investments, “implementation of outcome-based contracts requires significant investments in infrastructure (data collection and analytics capabilities).”</t>
  </si>
  <si>
    <t>lakdawalla and sood (</t>
  </si>
  <si>
    <t>, the intended result is to push both the net price and marginal price below the list price.</t>
  </si>
  <si>
    <t>danzon (</t>
  </si>
  <si>
    <t>, p. 246).</t>
  </si>
  <si>
    <t xml:space="preserve">danzon (2015, p. </t>
  </si>
  <si>
    <t>246</t>
  </si>
  <si>
    <t>see also ftc’s (</t>
  </si>
  <si>
    <t>) conclusion that the “ability of health plans to construct networks that include some, but not all, providers (so-called ‘selective contracting’) has long been seen as an important to enhance competition and lower costs….”</t>
  </si>
  <si>
    <t xml:space="preserve">in the context of health insurance, a diverse group also helps reduce the costs of “adverse risk selection,” which in extreme circumstances can leave a large fraction of the population uninsured (hackmann, kolstad and kowalski </t>
  </si>
  <si>
    <t>, bundorf, levin and mahoney 2012).</t>
  </si>
  <si>
    <t xml:space="preserve">in the context of health insurance, a diverse group also helps reduce the costs of “adverse risk selection,” which in extreme circumstances can leave a large fraction of the population uninsured (hackmann, kolstad and kowalski 2015, bundorf, levin and mahoney </t>
  </si>
  <si>
    <t>discussion of utilization rates is conspicuously absent from, e.g., the department of health and human services claim that “rebates … prevent[] competition to lower drug prices…” (</t>
  </si>
  <si>
    <t xml:space="preserve"> fr 2343).</t>
  </si>
  <si>
    <t xml:space="preserve">discussion of utilization rates is conspicuously absent from, e.g., the department of health and human services claim that “rebates … prevent[] competition to lower drug prices…” (84 fr </t>
  </si>
  <si>
    <t>2343</t>
  </si>
  <si>
    <t>these expressions reflect the fact that an oligopolist’s equilibrium list price depends on its competitor’s marginal price, which itself demands on list price and the management-cost parameter c.  see equation (</t>
  </si>
  <si>
    <t>) of this paper and equations (9) and (10) of mulligan (2022) for the derivation.</t>
  </si>
  <si>
    <t>these expressions reflect the fact that an oligopolist’s equilibrium list price depends on its competitor’s marginal price, which itself demands on list price and the management-cost parameter c.  see equation (6) of this paper and equations (</t>
  </si>
  <si>
    <t>) and (10) of mulligan (2022) for the derivation.</t>
  </si>
  <si>
    <t>these expressions reflect the fact that an oligopolist’s equilibrium list price depends on its competitor’s marginal price, which itself demands on list price and the management-cost parameter c.  see equation (6) of this paper and equations (9) and (</t>
  </si>
  <si>
    <t>) of mulligan (2022) for the derivation.</t>
  </si>
  <si>
    <t>these expressions reflect the fact that an oligopolist’s equilibrium list price depends on its competitor’s marginal price, which itself demands on list price and the management-cost parameter c.  see equation (6) of this paper and equations (9) and (10) of mulligan (</t>
  </si>
  <si>
    <t>) for the derivation.</t>
  </si>
  <si>
    <t>see mulligan (</t>
  </si>
  <si>
    <t>) for references to that literature.</t>
  </si>
  <si>
    <t xml:space="preserve">note that the baseline management cost parameter for drug markets generally (c = </t>
  </si>
  <si>
    <t>) is already close to zero.</t>
  </si>
  <si>
    <t xml:space="preserve">note that the baseline management cost parameter for drug markets generally (c = 0.0181) is already close to </t>
  </si>
  <si>
    <t>0.45</t>
  </si>
  <si>
    <t xml:space="preserve"> = 0.15*0.75/(1-0.75), with the denominator converting between gross price to net price.</t>
  </si>
  <si>
    <t xml:space="preserve">0.45 = </t>
  </si>
  <si>
    <t>*0.75/(1-0.75), with the denominator converting between gross price to net price.</t>
  </si>
  <si>
    <t>0.45 = 0.15*</t>
  </si>
  <si>
    <t>/(1-0.75), with the denominator converting between gross price to net price.</t>
  </si>
  <si>
    <t xml:space="preserve">this result does not require the specific values  = </t>
  </si>
  <si>
    <t xml:space="preserve"> and  = 1.2 or 1.1, just the inequality constraints .</t>
  </si>
  <si>
    <t xml:space="preserve">this result does not require the specific values  = 0.5 and  = </t>
  </si>
  <si>
    <t xml:space="preserve"> or 1.1, just the inequality constraints .</t>
  </si>
  <si>
    <t xml:space="preserve">this result does not require the specific values  = 0.5 and  = 1.2 or </t>
  </si>
  <si>
    <t>, just the inequality constraints .</t>
  </si>
  <si>
    <t>omb (</t>
  </si>
  <si>
    <t>) recommends that more federal regulatory impact analyses use the metb.</t>
  </si>
  <si>
    <t xml:space="preserve">cea (march </t>
  </si>
  <si>
    <t>) uses a metb of 0.5.</t>
  </si>
  <si>
    <t xml:space="preserve">cea (march 2019) uses a metb of </t>
  </si>
  <si>
    <t>) recommends a metb of 0.25, but this does not include state and local taxes, implicit taxes (which have increased since a-94 was published), or markups in the economy.</t>
  </si>
  <si>
    <t xml:space="preserve">omb (1992) recommends a metb of </t>
  </si>
  <si>
    <t>, but this does not include state and local taxes, implicit taxes (which have increased since a-94 was published), or markups in the economy.</t>
  </si>
  <si>
    <t xml:space="preserve"> percent is the midpoint of their 2-10 percent range.</t>
  </si>
  <si>
    <t xml:space="preserve">6 percent is the midpoint of their </t>
  </si>
  <si>
    <t>-10 percent range.</t>
  </si>
  <si>
    <t>6 percent is the midpoint of their 2</t>
  </si>
  <si>
    <t>-10</t>
  </si>
  <si>
    <t xml:space="preserve"> percent range.</t>
  </si>
  <si>
    <t>my extrapolation is based on lichtenberg’s (</t>
  </si>
  <si>
    <t>) findings about the distribution of medical savings from rx utilization between the various nonpharmacy categories.</t>
  </si>
  <si>
    <t xml:space="preserve">namely, the other categories add another </t>
  </si>
  <si>
    <t>61</t>
  </si>
  <si>
    <t xml:space="preserve"> percent of savings to the inpatient hospital savings.</t>
  </si>
  <si>
    <t>the first equation in (</t>
  </si>
  <si>
    <t>) is found by solving  for h and then substituting the definitions of h and net rx price (rx spend per unit q1).</t>
  </si>
  <si>
    <t xml:space="preserve"> = 0.52*1270.148/348.411, where 0.52 is the share of hospital revenue that is inpatient [deloite] and the other two values are 2020 national health expenditure on hospital care and retail prescription drugs, respectively from cms [table 19].</t>
  </si>
  <si>
    <t xml:space="preserve">1.9 = </t>
  </si>
  <si>
    <t>0.52</t>
  </si>
  <si>
    <t>*1270.148/348.411, where 0.52 is the share of hospital revenue that is inpatient [deloite] and the other two values are 2020 national health expenditure on hospital care and retail prescription drugs, respectively from cms [table 19].</t>
  </si>
  <si>
    <t>1.9 = 0.52*</t>
  </si>
  <si>
    <t>1270.148</t>
  </si>
  <si>
    <t>/348.411, where 0.52 is the share of hospital revenue that is inpatient [deloite] and the other two values are 2020 national health expenditure on hospital care and retail prescription drugs, respectively from cms [table 19].</t>
  </si>
  <si>
    <t>1.9 = 0.52*1270.148/</t>
  </si>
  <si>
    <t>348.411</t>
  </si>
  <si>
    <t>, where 0.52 is the share of hospital revenue that is inpatient [deloite] and the other two values are 2020 national health expenditure on hospital care and retail prescription drugs, respectively from cms [table 19].</t>
  </si>
  <si>
    <t xml:space="preserve">1.9 = 0.52*1270.148/348.411, where </t>
  </si>
  <si>
    <t xml:space="preserve"> is the share of hospital revenue that is inpatient [deloite] and the other two values are 2020 national health expenditure on hospital care and retail prescription drugs, respectively from cms [table 19].</t>
  </si>
  <si>
    <t xml:space="preserve">1.9 = 0.52*1270.148/348.411, where 0.52 is the share of hospital revenue that is inpatient [deloite] and the other </t>
  </si>
  <si>
    <t xml:space="preserve"> values are 2020 national health expenditure on hospital care and retail prescription drugs, respectively from cms [table 19].</t>
  </si>
  <si>
    <t xml:space="preserve">1.9 = 0.52*1270.148/348.411, where 0.52 is the share of hospital revenue that is inpatient [deloite] and the other two values are </t>
  </si>
  <si>
    <t xml:space="preserve"> national health expenditure on hospital care and retail prescription drugs, respectively from cms [table 19].</t>
  </si>
  <si>
    <t xml:space="preserve">1.9 = 0.52*1270.148/348.411, where 0.52 is the share of hospital revenue that is inpatient [deloite] and the other two values are 2020 national health expenditure on hospital care and retail prescription drugs, respectively from cms [table </t>
  </si>
  <si>
    <t>].</t>
  </si>
  <si>
    <t xml:space="preserve">here the area of defg is calculated as the area of a parallelogram with vertices at those </t>
  </si>
  <si>
    <t xml:space="preserve"> points.</t>
  </si>
  <si>
    <t>if q1 &amp;lt; q2, then equation (</t>
  </si>
  <si>
    <t>) would be negative with magnitude representing a savings rather than a cost.</t>
  </si>
  <si>
    <t>for further analysis and literature references, see mulligan (</t>
  </si>
  <si>
    <t>based on the analysis of generic entry in mulligan (</t>
  </si>
  <si>
    <t>), here i assume that the manufacturer’s revenue post patent is 13 percent of what it is during the oligopoly phase.</t>
  </si>
  <si>
    <t xml:space="preserve">based on the analysis of generic entry in mulligan (2021), here i assume that the manufacturer’s revenue post patent is </t>
  </si>
  <si>
    <t xml:space="preserve"> percent of what it is during the oligopoly phase.</t>
  </si>
  <si>
    <t xml:space="preserve"> factors can still be complements if the effect of one factor price on the other factor demand through equilibrium quantity outweighs the substitution effect at a given quantity.</t>
  </si>
  <si>
    <t xml:space="preserve">the two factors can still be complements if the effect of </t>
  </si>
  <si>
    <t xml:space="preserve"> factor price on the other factor demand through equilibrium quantity outweighs the substitution effect at a given quantity.</t>
  </si>
  <si>
    <t>for example, gaynor, haas-wilson, and vogt (</t>
  </si>
  <si>
    <t>) assume that the quantity of prescriptions is chosen entirely by the patient on the basis of the amount of cost-sharing, without regard for the plan’s acquisition cost (or for plan resources, which are absent from their model).</t>
  </si>
  <si>
    <t xml:space="preserve">generic drugs manufacturers, for example, almost never pay rebates to plans or pbms outside of the medicaid program (lieberman and ginsburg </t>
  </si>
  <si>
    <t>subsidies received from outside the industry are not analyzed in this appendix, but presumably would have the more obvious effect of increasing drug utilization as kaestner and kahn (</t>
  </si>
  <si>
    <t>) found.</t>
  </si>
  <si>
    <t>this result is closely related to the conclusion of nobel laureates peter diamond and james mirrlees (</t>
  </si>
  <si>
    <t>) that public policy should avoid distorting the mix of industry inputs (k and l in this case) even if the policy goal is to change the amount of output in the industry (q in this case).</t>
  </si>
  <si>
    <t xml:space="preserve">note that the absolute level of patient inputs could fall too if the scale effect of reduced quantity (not shown in figure </t>
  </si>
  <si>
    <t>) is enough to offset the substitution of l for k at a given level of q.</t>
  </si>
  <si>
    <t xml:space="preserve">to be conservative as to the costs of pbm regulation, the main text of this paper assumes that the utilization effect highlighted in this appendix is </t>
  </si>
  <si>
    <t>sood et al (</t>
  </si>
  <si>
    <t>) find that net pharmacy revenue is 15 percent of overall prescription spending.</t>
  </si>
  <si>
    <t xml:space="preserve">sood et al (2017) find that net pharmacy revenue is </t>
  </si>
  <si>
    <t xml:space="preserve"> percent of overall prescription spending.</t>
  </si>
  <si>
    <t>fein (</t>
  </si>
  <si>
    <t>) reports that the prescription revenue share of retail pharmacies (as distinct from mail-order pharmacies) is 62 percent.</t>
  </si>
  <si>
    <t xml:space="preserve">fein (2022) reports that the prescription revenue share of retail pharmacies (as distinct from mail-order pharmacies) is </t>
  </si>
  <si>
    <t>62</t>
  </si>
  <si>
    <t>the functional form for u is (</t>
  </si>
  <si>
    <t>), with the parameters calibrated as noted in this appendix.</t>
  </si>
  <si>
    <t>QuantitativeProse</t>
  </si>
  <si>
    <t>https://www.reginfo.gov/public/jsp/Utilities/circular-a-4_regulatory-impact-analysis-a-primer.pdf</t>
  </si>
  <si>
    <t>http://www.whitehouse.gov/wp-content/uploads/legacy_drupal_files/omb/circulars/A94/a094.pdf</t>
  </si>
  <si>
    <t>"more than"</t>
  </si>
  <si>
    <t>85 FR 76666</t>
  </si>
  <si>
    <t>87 FR 27704</t>
  </si>
  <si>
    <t>"10s".  See also the PBM column of Table 5</t>
  </si>
  <si>
    <t>OACT, OACTX2, Retain-zero</t>
  </si>
  <si>
    <t>84 FR 2356</t>
  </si>
  <si>
    <t>84 FR 2340</t>
  </si>
  <si>
    <t>Assumed for illustration</t>
  </si>
  <si>
    <t>Hayes (2022) plus an increase that likely occurred since her data.</t>
  </si>
  <si>
    <t>MEDPAC (Sept 2022) showed 28 percent for 2020, but Medicare Trustees expect continued increases in subsequent years</t>
  </si>
  <si>
    <t>greater list prices, greater rebates, lower net prices</t>
  </si>
  <si>
    <t>Van Nuys et al (2021)</t>
  </si>
  <si>
    <t>Cubanski and Neuman (2019)</t>
  </si>
  <si>
    <t>Roehrig (2018, Exhibit 2)</t>
  </si>
  <si>
    <t>An illustrative amount based on Roehrig</t>
  </si>
  <si>
    <t>Table 2 exceeds 1b by a greater margin for the Insulin Act because the "entire market" 3rd party share is much less (Table A1)</t>
  </si>
  <si>
    <t>https://www.medpac.gov/wp-content/uploads/import_data/scrape_files/docs/default-source/reports/mar17_medpac_ch14.pdf</t>
  </si>
  <si>
    <t>Premise of a logical statement</t>
  </si>
  <si>
    <t>reinsurance subsidies and reconciliation payments</t>
  </si>
  <si>
    <t>early patent phase and late patent phase</t>
  </si>
  <si>
    <t>"less than".  This is the population-weighted average of their Table 1.</t>
  </si>
  <si>
    <t>Wouters et al (2017)</t>
  </si>
  <si>
    <t>4% "costs" and 2$ "profit"</t>
  </si>
  <si>
    <t>the annual costs of pbms are about $22 billion, of which about $</t>
  </si>
  <si>
    <t xml:space="preserve">the annual costs of pbms are about $22 billion, of which about $7 billion is profit (sood, shih, van nuys, &amp;amp; goldman, </t>
  </si>
  <si>
    <t>Labor share (of factor costs) of 0.7</t>
  </si>
  <si>
    <t>Labor share (of factor costs) of 0.75</t>
  </si>
  <si>
    <t>PBMExciseTax.nb</t>
  </si>
  <si>
    <t>1/4 is the limit as the management cost parameter goes to zero.</t>
  </si>
  <si>
    <t>5/12 is an upper bound for high management costs</t>
  </si>
  <si>
    <t>Mulligan (2022, Table 1)</t>
  </si>
  <si>
    <t>equivalently, 47+6</t>
  </si>
  <si>
    <t>Appendix IV</t>
  </si>
  <si>
    <t>https://www.medpac.gov/wp-content/uploads/2021/10/DIR-Slides-MedPAC-29-Sept-2022.pdf</t>
  </si>
  <si>
    <t>0.10</t>
  </si>
  <si>
    <t xml:space="preserve"> million annually while others pay more than 6 times the pharmacy benefit ($760 million), for a net cost of $640 million.</t>
  </si>
  <si>
    <t xml:space="preserve">in the oactx2 scenario, for example, pharmacies gain $120 million annually while others pay more than  </t>
  </si>
  <si>
    <t xml:space="preserve"> times the pharmacy benefit ($760 million), for a net cost of $640 million.</t>
  </si>
  <si>
    <t>in the oactx2 scenario, for example, pharmacies gain $120 million annually while others pay more than 6 times the pharmacy benefit ($</t>
  </si>
  <si>
    <t>in the oactx2 scenario, for example, pharmacies gain $120 million annually while others pay more than 6 times the pharmacy benefit ($760 million), for a net cost of $</t>
  </si>
  <si>
    <t>DOJ and FTC (1996, p. 45)</t>
  </si>
  <si>
    <t>Manufacturer, Pharmacy, PBM</t>
  </si>
  <si>
    <t>https://www.drugchannels.net/2022/03/the-top-15-us-pharmacies-of-2021-market.html  see also https://www.commonwealthfund.org/publications/issue-briefs/2021/aug/competition-consolidation-evolution-pharmacy-market</t>
  </si>
  <si>
    <t>mail order excluded from denominator</t>
  </si>
  <si>
    <t>The competitors of a monopolist produce zero</t>
  </si>
  <si>
    <t>Price setters are on the elastic part of their demand curve</t>
  </si>
  <si>
    <t>Definition of substitutes</t>
  </si>
  <si>
    <t>List price in the linear model</t>
  </si>
  <si>
    <t>Equilibrium quantity equation</t>
  </si>
  <si>
    <t>OACT, OACTX2</t>
  </si>
  <si>
    <t>Normalization</t>
  </si>
  <si>
    <t>CEA (March 2019)</t>
  </si>
  <si>
    <t xml:space="preserve"> must be in the interval (1/4,5/12).</t>
  </si>
  <si>
    <t>/4,5/12).</t>
  </si>
  <si>
    <t>,5/12).</t>
  </si>
  <si>
    <t>the proportional loss of industry surplus from having  maximizing economic profit rather than  = 0 must be in the interval (1/4,</t>
  </si>
  <si>
    <t>Kaestner and Kahn (2012, p. 273)</t>
  </si>
  <si>
    <t>"at least"</t>
  </si>
  <si>
    <t xml:space="preserve"> percent for insulin and about 1 percent for drugs generally.</t>
  </si>
  <si>
    <t xml:space="preserve">rebate rules may reduce drug utilization (including generics) up to 8 percent for insulin and about </t>
  </si>
  <si>
    <t>51</t>
  </si>
  <si>
    <t>-100</t>
  </si>
  <si>
    <t>-32</t>
  </si>
  <si>
    <t>-31</t>
  </si>
  <si>
    <t>11.6-5</t>
  </si>
  <si>
    <t>fifth</t>
  </si>
  <si>
    <t xml:space="preserve"> and the fifth row of table 1b are discussed in the appendix ii that follows.</t>
  </si>
  <si>
    <t xml:space="preserve">the added medical costs shown in the seventh row of table 2 and the fifth row of table </t>
  </si>
  <si>
    <t>Kaestner and Kahn (2019, p. 597)</t>
  </si>
  <si>
    <t>Example</t>
  </si>
  <si>
    <t>2.1</t>
  </si>
  <si>
    <t>0.083</t>
  </si>
  <si>
    <t>21.9</t>
  </si>
  <si>
    <t xml:space="preserve">for example, the 2.1 percent entry in the last column of table </t>
  </si>
  <si>
    <t xml:space="preserve">for example, the 2.1 percent entry in the last column of table 1b is the product of the corresponding quantity effect from table </t>
  </si>
  <si>
    <t>for example, the 2.1 percent entry in the last column of table 1b is the product of the corresponding quantity effect from table 1a (</t>
  </si>
  <si>
    <t xml:space="preserve"> percent entry in the last column of table 1b is the product of the corresponding quantity effect from table 1a (0.083) times the final entry in table a1’s row (h), rescaled by the ratio 4.2 of industry net spend (including generics) to rebates.</t>
  </si>
  <si>
    <t>b is the product of the corresponding quantity effect from table 1a (0.083) times the final entry in table a1’s row (h), rescaled by the ratio 4.2 of industry net spend (including generics) to rebates.</t>
  </si>
  <si>
    <t>a (0.083) times the final entry in table a1’s row (h), rescaled by the ratio 4.2 of industry net spend (including generics) to rebates.</t>
  </si>
  <si>
    <t>for example, the 2.1 percent entry in the last column of table 1b is the product of the corresponding quantity effect from table 1a (0.083) times the final entry in table a</t>
  </si>
  <si>
    <t xml:space="preserve">for example, the 2.1 percent entry in the last column of table 1b is the product of the corresponding quantity effect from table 1a (0.083) times the final entry in table a1’s row (h), rescaled by the ratio </t>
  </si>
  <si>
    <t xml:space="preserve"> (21.9 percent) is the entire addition to medical premiums – not just the part born by third parties – and therefore differs from table 1b by the factor of 0.085 shown in row (g) of table a1 and the share 0.102 of medical spending financed through health insurance premiums.</t>
  </si>
  <si>
    <t xml:space="preserve">the corresponding entry in table 2 (21.9 percent) is the entire addition to medical premiums – not just the part born by </t>
  </si>
  <si>
    <t xml:space="preserve">the corresponding entry in table 2 (21.9 percent) is the entire addition to medical premiums – not just the part born by third parties – and therefore differs from table </t>
  </si>
  <si>
    <t xml:space="preserve">the corresponding entry in table 2 (21.9 percent) is the entire addition to medical premiums – not just the part born by third parties – and therefore differs from table 1b by the factor of </t>
  </si>
  <si>
    <t>the corresponding entry in table 2 (21.9 percent) is the entire addition to medical premiums – not just the part born by third parties – and therefore differs from table 1b by the factor of 0.085 shown in row (g) of table a</t>
  </si>
  <si>
    <t xml:space="preserve">the corresponding entry in table 2 (21.9 percent) is the entire addition to medical premiums – not just the part born by third parties – and therefore differs from table 1b by the factor of 0.085 shown in row (g) of table a1 and the share </t>
  </si>
  <si>
    <t>early patent, late patent, post patent</t>
  </si>
  <si>
    <t>https://doi.org/10.1001/jamahealthforum.2021.3409</t>
  </si>
  <si>
    <t>Figure 6</t>
  </si>
  <si>
    <t>Figure 1</t>
  </si>
  <si>
    <t xml:space="preserve">the approximately linearity holds in table 1a, several rows of table </t>
  </si>
  <si>
    <t xml:space="preserve">the approximately linearity holds in table 1a, several rows of table 1b, the drug innovation row of table </t>
  </si>
  <si>
    <t xml:space="preserve">the approximately linearity holds in table 1a, several rows of table 1b, the drug innovation row of table 1b, and the first </t>
  </si>
  <si>
    <t xml:space="preserve">the approximately linearity holds in table 1a, several rows of table 1b, the drug innovation row of table 1b, and the first four rows of table </t>
  </si>
  <si>
    <t>84 FR 2358</t>
  </si>
  <si>
    <t>87 FR 27834</t>
  </si>
  <si>
    <t>9.7 is rounded</t>
  </si>
  <si>
    <t>Table 19 of 2020 NHE Accounts</t>
  </si>
  <si>
    <t>Fein (2022)</t>
  </si>
  <si>
    <t>Source for quantitative statements in:</t>
  </si>
  <si>
    <r>
      <t xml:space="preserve">Mulligan (2023): </t>
    </r>
    <r>
      <rPr>
        <i/>
        <sz val="12"/>
        <color rgb="FF000000"/>
        <rFont val="Times New Roman"/>
        <family val="1"/>
        <scheme val="minor"/>
      </rPr>
      <t>Restrict the Middleman? Quantitative models of PBM regulations and their consequences</t>
    </r>
  </si>
  <si>
    <t xml:space="preserve">Still, the annual fiscal cost of the reduced manufacturer competition shown in Table 5 would be almost  </t>
  </si>
  <si>
    <t>"almost"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</si>
</sst>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00"/>
    <numFmt numFmtId="166" formatCode="0.0"/>
    <numFmt numFmtId="167" formatCode="&quot;up to &quot;0"/>
    <numFmt numFmtId="168" formatCode="&quot;$&quot;#,##0.00"/>
    <numFmt numFmtId="169" formatCode="0.0000"/>
  </numFmts>
  <fonts count="31" x14ac:knownFonts="1">
    <font>
      <sz val="12"/>
      <color theme="1"/>
      <name val="Times New Roman"/>
      <family val="2"/>
      <scheme val="minor"/>
    </font>
    <font>
      <sz val="12"/>
      <color rgb="FF3F3F76"/>
      <name val="Times New Roman"/>
      <family val="2"/>
      <scheme val="minor"/>
    </font>
    <font>
      <sz val="12"/>
      <color theme="1"/>
      <name val="Times New Roman"/>
      <family val="2"/>
      <scheme val="minor"/>
    </font>
    <font>
      <sz val="12"/>
      <color theme="3" tint="0.39997558519241921"/>
      <name val="Times New Roman"/>
      <family val="2"/>
      <scheme val="minor"/>
    </font>
    <font>
      <sz val="12"/>
      <color rgb="FFFF0000"/>
      <name val="Times New Roman"/>
      <family val="1"/>
      <scheme val="minor"/>
    </font>
    <font>
      <i/>
      <sz val="12"/>
      <color theme="1"/>
      <name val="Times New Roman"/>
      <family val="1"/>
      <scheme val="minor"/>
    </font>
    <font>
      <b/>
      <sz val="12"/>
      <color theme="1"/>
      <name val="Times New Roman"/>
      <family val="1"/>
      <scheme val="minor"/>
    </font>
    <font>
      <i/>
      <sz val="12"/>
      <color rgb="FF0432FF"/>
      <name val="Times New Roman"/>
      <family val="1"/>
      <scheme val="minor"/>
    </font>
    <font>
      <sz val="12"/>
      <color rgb="FF0432FF"/>
      <name val="Times New Roman"/>
      <family val="1"/>
      <scheme val="minor"/>
    </font>
    <font>
      <i/>
      <sz val="12"/>
      <color rgb="FF00B050"/>
      <name val="Times New Roman"/>
      <family val="1"/>
      <scheme val="minor"/>
    </font>
    <font>
      <sz val="12"/>
      <color rgb="FF00B050"/>
      <name val="Times New Roman"/>
      <family val="1"/>
      <scheme val="minor"/>
    </font>
    <font>
      <i/>
      <sz val="12"/>
      <color rgb="FF7030A0"/>
      <name val="Times New Roman"/>
      <family val="1"/>
      <scheme val="minor"/>
    </font>
    <font>
      <sz val="12"/>
      <color rgb="FF7030A0"/>
      <name val="Times New Roman"/>
      <family val="1"/>
      <scheme val="minor"/>
    </font>
    <font>
      <sz val="12"/>
      <color theme="9" tint="-0.249977111117893"/>
      <name val="Times New Roman"/>
      <family val="2"/>
      <scheme val="minor"/>
    </font>
    <font>
      <sz val="12"/>
      <color theme="1"/>
      <name val="Times New Roman"/>
      <family val="1"/>
      <scheme val="minor"/>
    </font>
    <font>
      <i/>
      <sz val="12"/>
      <color theme="9" tint="-0.249977111117893"/>
      <name val="Times New Roman"/>
      <family val="1"/>
      <scheme val="minor"/>
    </font>
    <font>
      <sz val="12"/>
      <color theme="9" tint="-0.249977111117893"/>
      <name val="Times New Roman"/>
      <family val="1"/>
      <scheme val="minor"/>
    </font>
    <font>
      <sz val="12"/>
      <color rgb="FF7030A0"/>
      <name val="Times New Roman"/>
      <family val="2"/>
      <scheme val="minor"/>
    </font>
    <font>
      <sz val="12"/>
      <color rgb="FF00B050"/>
      <name val="Times New Roman"/>
      <family val="2"/>
      <scheme val="minor"/>
    </font>
    <font>
      <i/>
      <sz val="12"/>
      <name val="Times New Roman"/>
      <family val="1"/>
      <scheme val="minor"/>
    </font>
    <font>
      <sz val="12"/>
      <name val="Times New Roman"/>
      <family val="1"/>
      <scheme val="minor"/>
    </font>
    <font>
      <sz val="12"/>
      <name val="Times New Roman"/>
      <family val="2"/>
      <scheme val="minor"/>
    </font>
    <font>
      <u/>
      <sz val="12"/>
      <color theme="10"/>
      <name val="Times New Roman"/>
      <family val="2"/>
      <scheme val="minor"/>
    </font>
    <font>
      <b/>
      <u/>
      <sz val="12"/>
      <color theme="1"/>
      <name val="Times New Roman (Body)"/>
    </font>
    <font>
      <u/>
      <sz val="12"/>
      <color theme="1"/>
      <name val="Times New Roman (Body)"/>
    </font>
    <font>
      <sz val="12"/>
      <color indexed="8"/>
      <name val="Times New Roman"/>
      <family val="1"/>
      <scheme val="minor"/>
    </font>
    <font>
      <sz val="12"/>
      <color rgb="FF000000"/>
      <name val="Times New Roman"/>
      <family val="2"/>
      <scheme val="minor"/>
    </font>
    <font>
      <sz val="11"/>
      <color indexed="8"/>
      <name val="Times New Roman"/>
      <family val="2"/>
      <scheme val="minor"/>
    </font>
    <font>
      <sz val="12"/>
      <color indexed="8"/>
      <name val="Times New Roman"/>
      <family val="2"/>
      <scheme val="minor"/>
    </font>
    <font>
      <sz val="12"/>
      <color rgb="FF212121"/>
      <name val="Cambria"/>
      <family val="1"/>
    </font>
    <font>
      <i/>
      <sz val="12"/>
      <color rgb="FF000000"/>
      <name val="Times New Roman"/>
      <family val="1"/>
      <scheme val="minor"/>
    </font>
  </fonts>
  <fills count="6">
    <fill>
      <patternFill patternType="none"/>
    </fill>
    <fill>
      <patternFill patternType="gray125"/>
    </fill>
    <fill>
      <patternFill patternType="solid">
        <fgColor rgb="FFFFCC99"/>
      </patternFill>
    </fill>
    <fill>
      <patternFill patternType="solid">
        <fgColor theme="6" tint="0.79998168889431442"/>
        <bgColor indexed="64"/>
      </patternFill>
    </fill>
    <fill>
      <patternFill patternType="solid">
        <fgColor theme="5" tint="0.79998168889431442"/>
        <bgColor indexed="64"/>
      </patternFill>
    </fill>
    <fill>
      <patternFill patternType="solid">
        <fgColor theme="8" tint="0.79998168889431442"/>
        <bgColor indexed="64"/>
      </patternFill>
    </fill>
  </fills>
  <borders count="8">
    <border>
      <left/>
      <right/>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style="thin">
        <color rgb="FF7F7F7F"/>
      </left>
      <right style="thin">
        <color rgb="FF7F7F7F"/>
      </right>
      <top/>
      <bottom style="thin">
        <color rgb="FF7F7F7F"/>
      </bottom>
      <diagonal/>
    </border>
    <border>
      <left style="thin">
        <color rgb="FF7F7F7F"/>
      </left>
      <right/>
      <top/>
      <bottom/>
      <diagonal/>
    </border>
    <border>
      <left style="thin">
        <color rgb="FF7F7F7F"/>
      </left>
      <right style="thin">
        <color rgb="FF7F7F7F"/>
      </right>
      <top style="thin">
        <color rgb="FF7F7F7F"/>
      </top>
      <bottom style="thin">
        <color indexed="64"/>
      </bottom>
      <diagonal/>
    </border>
    <border>
      <left/>
      <right/>
      <top style="thin">
        <color rgb="FF7F7F7F"/>
      </top>
      <bottom style="thin">
        <color rgb="FF7F7F7F"/>
      </bottom>
      <diagonal/>
    </border>
    <border>
      <left/>
      <right/>
      <top style="thin">
        <color indexed="64"/>
      </top>
      <bottom/>
      <diagonal/>
    </border>
  </borders>
  <cellStyleXfs count="6">
    <xf numFmtId="0" fontId="0" fillId="0" borderId="0"/>
    <xf numFmtId="0" fontId="1" fillId="2" borderId="1" applyNumberFormat="0" applyAlignment="0" applyProtection="0"/>
    <xf numFmtId="9" fontId="2" fillId="0" borderId="0" applyFont="0" applyFill="0" applyBorder="0" applyAlignment="0" applyProtection="0"/>
    <xf numFmtId="0" fontId="22" fillId="0" borderId="0" applyNumberFormat="0" applyFill="0" applyBorder="0" applyAlignment="0" applyProtection="0"/>
    <xf numFmtId="0" fontId="2" fillId="0" borderId="0"/>
    <xf numFmtId="0" fontId="27" fillId="0" borderId="0"/>
  </cellStyleXfs>
  <cellXfs count="222">
    <xf numFmtId="0" fontId="0" fillId="0" borderId="0" xfId="0"/>
    <xf numFmtId="0" fontId="1" fillId="2" borderId="1" xfId="1"/>
    <xf numFmtId="0" fontId="0" fillId="0" borderId="0" xfId="0" applyAlignment="1">
      <alignment horizontal="right"/>
    </xf>
    <xf numFmtId="9" fontId="0" fillId="0" borderId="0" xfId="2" applyFont="1"/>
    <xf numFmtId="0" fontId="1" fillId="2" borderId="3" xfId="1" applyBorder="1"/>
    <xf numFmtId="0" fontId="0" fillId="0" borderId="2" xfId="0" applyBorder="1"/>
    <xf numFmtId="0" fontId="0" fillId="0" borderId="2" xfId="0" applyBorder="1" applyAlignment="1">
      <alignment horizontal="right"/>
    </xf>
    <xf numFmtId="9" fontId="0" fillId="0" borderId="0" xfId="0" applyNumberFormat="1"/>
    <xf numFmtId="164" fontId="0" fillId="0" borderId="0" xfId="2" applyNumberFormat="1" applyFont="1"/>
    <xf numFmtId="9" fontId="1" fillId="2" borderId="1" xfId="1" applyNumberFormat="1"/>
    <xf numFmtId="0" fontId="3" fillId="0" borderId="0" xfId="0" applyFont="1" applyAlignment="1">
      <alignment horizontal="right"/>
    </xf>
    <xf numFmtId="0" fontId="3" fillId="0" borderId="0" xfId="0" applyFont="1"/>
    <xf numFmtId="165" fontId="0" fillId="0" borderId="0" xfId="0" applyNumberFormat="1"/>
    <xf numFmtId="164" fontId="1" fillId="2" borderId="1" xfId="1" applyNumberFormat="1"/>
    <xf numFmtId="0" fontId="0" fillId="0" borderId="0" xfId="0" applyAlignment="1">
      <alignment horizontal="left" indent="1"/>
    </xf>
    <xf numFmtId="0" fontId="5" fillId="0" borderId="0" xfId="0" applyFont="1"/>
    <xf numFmtId="0" fontId="1" fillId="2" borderId="1" xfId="1" applyAlignment="1">
      <alignment horizontal="right"/>
    </xf>
    <xf numFmtId="0" fontId="6" fillId="0" borderId="0" xfId="0" applyFont="1"/>
    <xf numFmtId="0" fontId="5" fillId="0" borderId="0" xfId="0" applyFont="1" applyAlignment="1">
      <alignment horizontal="left"/>
    </xf>
    <xf numFmtId="0" fontId="0" fillId="0" borderId="0" xfId="0" quotePrefix="1"/>
    <xf numFmtId="0" fontId="7" fillId="0" borderId="0" xfId="0" applyFont="1" applyAlignment="1">
      <alignment horizontal="left"/>
    </xf>
    <xf numFmtId="0" fontId="8" fillId="0" borderId="0" xfId="0" applyFont="1"/>
    <xf numFmtId="0" fontId="8" fillId="0" borderId="0" xfId="0" applyFont="1" applyAlignment="1">
      <alignment horizontal="right"/>
    </xf>
    <xf numFmtId="165" fontId="8" fillId="0" borderId="0" xfId="0" applyNumberFormat="1" applyFont="1"/>
    <xf numFmtId="9" fontId="8" fillId="0" borderId="0" xfId="2" applyFont="1"/>
    <xf numFmtId="164" fontId="8" fillId="0" borderId="0" xfId="2" applyNumberFormat="1" applyFont="1"/>
    <xf numFmtId="0" fontId="9" fillId="0" borderId="0" xfId="0" applyFont="1" applyAlignment="1">
      <alignment horizontal="right"/>
    </xf>
    <xf numFmtId="165" fontId="10" fillId="0" borderId="0" xfId="0" applyNumberFormat="1" applyFont="1"/>
    <xf numFmtId="0" fontId="10" fillId="0" borderId="0" xfId="0" applyFont="1"/>
    <xf numFmtId="9" fontId="10" fillId="0" borderId="0" xfId="2" applyFont="1"/>
    <xf numFmtId="164" fontId="10" fillId="0" borderId="0" xfId="2" applyNumberFormat="1" applyFont="1"/>
    <xf numFmtId="0" fontId="11" fillId="0" borderId="0" xfId="0" applyFont="1" applyAlignment="1">
      <alignment horizontal="right"/>
    </xf>
    <xf numFmtId="165" fontId="12" fillId="0" borderId="0" xfId="0" applyNumberFormat="1" applyFont="1"/>
    <xf numFmtId="0" fontId="12" fillId="0" borderId="0" xfId="0" applyFont="1"/>
    <xf numFmtId="9" fontId="12" fillId="0" borderId="0" xfId="2" applyFont="1"/>
    <xf numFmtId="164" fontId="12" fillId="0" borderId="0" xfId="2" applyNumberFormat="1" applyFont="1"/>
    <xf numFmtId="0" fontId="0" fillId="0" borderId="2" xfId="0" applyBorder="1" applyAlignment="1">
      <alignment wrapText="1"/>
    </xf>
    <xf numFmtId="0" fontId="0" fillId="0" borderId="0" xfId="0" quotePrefix="1" applyAlignment="1">
      <alignment horizontal="left" indent="1"/>
    </xf>
    <xf numFmtId="2" fontId="0" fillId="0" borderId="0" xfId="0" applyNumberFormat="1"/>
    <xf numFmtId="166" fontId="0" fillId="0" borderId="0" xfId="0" applyNumberFormat="1"/>
    <xf numFmtId="166" fontId="0" fillId="0" borderId="2" xfId="0" applyNumberFormat="1" applyBorder="1"/>
    <xf numFmtId="0" fontId="0" fillId="0" borderId="2" xfId="0" applyBorder="1" applyAlignment="1">
      <alignment horizontal="left"/>
    </xf>
    <xf numFmtId="166" fontId="1" fillId="2" borderId="1" xfId="1" applyNumberFormat="1"/>
    <xf numFmtId="0" fontId="1" fillId="2" borderId="5" xfId="1" applyBorder="1"/>
    <xf numFmtId="165" fontId="1" fillId="2" borderId="1" xfId="1" applyNumberFormat="1"/>
    <xf numFmtId="165" fontId="0" fillId="0" borderId="2" xfId="0" applyNumberFormat="1" applyBorder="1"/>
    <xf numFmtId="9" fontId="1" fillId="2" borderId="1" xfId="2" applyFont="1" applyFill="1" applyBorder="1"/>
    <xf numFmtId="0" fontId="13" fillId="0" borderId="0" xfId="0" applyFont="1" applyAlignment="1">
      <alignment horizontal="right"/>
    </xf>
    <xf numFmtId="0" fontId="13" fillId="0" borderId="0" xfId="0" applyFont="1"/>
    <xf numFmtId="164" fontId="13" fillId="0" borderId="0" xfId="2" applyNumberFormat="1" applyFont="1"/>
    <xf numFmtId="9" fontId="13" fillId="0" borderId="0" xfId="2" applyFont="1"/>
    <xf numFmtId="2" fontId="1" fillId="2" borderId="3" xfId="1" applyNumberFormat="1" applyBorder="1"/>
    <xf numFmtId="0" fontId="5" fillId="0" borderId="0" xfId="0" applyFont="1" applyAlignment="1">
      <alignment horizontal="right"/>
    </xf>
    <xf numFmtId="0" fontId="14" fillId="0" borderId="0" xfId="0" applyFont="1" applyAlignment="1">
      <alignment horizontal="right"/>
    </xf>
    <xf numFmtId="0" fontId="12" fillId="0" borderId="0" xfId="0" applyFont="1" applyAlignment="1">
      <alignment horizontal="right"/>
    </xf>
    <xf numFmtId="0" fontId="15" fillId="0" borderId="0" xfId="0" applyFont="1" applyAlignment="1">
      <alignment horizontal="right"/>
    </xf>
    <xf numFmtId="164" fontId="12" fillId="0" borderId="0" xfId="2" applyNumberFormat="1" applyFont="1" applyFill="1"/>
    <xf numFmtId="2" fontId="1" fillId="2" borderId="1" xfId="2" applyNumberFormat="1" applyFont="1" applyFill="1" applyBorder="1"/>
    <xf numFmtId="9" fontId="12" fillId="0" borderId="0" xfId="2" applyFont="1" applyFill="1"/>
    <xf numFmtId="0" fontId="1" fillId="2" borderId="1" xfId="2" applyNumberFormat="1" applyFont="1" applyFill="1" applyBorder="1"/>
    <xf numFmtId="0" fontId="15" fillId="0" borderId="0" xfId="0" applyFont="1"/>
    <xf numFmtId="0" fontId="16" fillId="0" borderId="0" xfId="0" applyFont="1"/>
    <xf numFmtId="0" fontId="16" fillId="0" borderId="0" xfId="0" applyFont="1" applyAlignment="1">
      <alignment wrapText="1"/>
    </xf>
    <xf numFmtId="0" fontId="13" fillId="0" borderId="0" xfId="0" quotePrefix="1" applyFont="1"/>
    <xf numFmtId="0" fontId="11" fillId="0" borderId="0" xfId="0" applyFont="1"/>
    <xf numFmtId="0" fontId="12" fillId="0" borderId="0" xfId="0" applyFont="1" applyAlignment="1">
      <alignment wrapText="1"/>
    </xf>
    <xf numFmtId="0" fontId="12" fillId="0" borderId="0" xfId="0" applyFont="1" applyAlignment="1">
      <alignment horizontal="left" wrapText="1" indent="1"/>
    </xf>
    <xf numFmtId="0" fontId="12" fillId="0" borderId="0" xfId="0" applyFont="1" applyAlignment="1">
      <alignment horizontal="left" indent="1"/>
    </xf>
    <xf numFmtId="0" fontId="17" fillId="0" borderId="0" xfId="0" applyFont="1"/>
    <xf numFmtId="0" fontId="17" fillId="0" borderId="0" xfId="0" quotePrefix="1" applyFont="1"/>
    <xf numFmtId="166" fontId="17" fillId="0" borderId="0" xfId="0" applyNumberFormat="1" applyFont="1"/>
    <xf numFmtId="0" fontId="12" fillId="0" borderId="0" xfId="0" applyFont="1" applyAlignment="1">
      <alignment horizontal="left"/>
    </xf>
    <xf numFmtId="0" fontId="16" fillId="0" borderId="0" xfId="0" applyFont="1" applyAlignment="1">
      <alignment horizontal="right"/>
    </xf>
    <xf numFmtId="165" fontId="16" fillId="0" borderId="0" xfId="0" applyNumberFormat="1" applyFont="1"/>
    <xf numFmtId="9" fontId="16" fillId="0" borderId="0" xfId="2" applyFont="1"/>
    <xf numFmtId="164" fontId="16" fillId="0" borderId="0" xfId="2" applyNumberFormat="1" applyFont="1"/>
    <xf numFmtId="2" fontId="17" fillId="0" borderId="0" xfId="0" applyNumberFormat="1" applyFont="1"/>
    <xf numFmtId="2" fontId="1" fillId="2" borderId="1" xfId="1" applyNumberFormat="1"/>
    <xf numFmtId="0" fontId="0" fillId="0" borderId="0" xfId="0" applyAlignment="1">
      <alignment horizontal="left"/>
    </xf>
    <xf numFmtId="9" fontId="8" fillId="0" borderId="0" xfId="2" applyFont="1" applyFill="1"/>
    <xf numFmtId="9" fontId="0" fillId="0" borderId="0" xfId="2" applyFont="1" applyFill="1"/>
    <xf numFmtId="0" fontId="10" fillId="0" borderId="0" xfId="0" applyFont="1" applyAlignment="1">
      <alignment horizontal="right"/>
    </xf>
    <xf numFmtId="9" fontId="10" fillId="0" borderId="0" xfId="2" applyFont="1" applyFill="1"/>
    <xf numFmtId="0" fontId="18" fillId="0" borderId="0" xfId="0" applyFont="1" applyAlignment="1">
      <alignment horizontal="right"/>
    </xf>
    <xf numFmtId="165" fontId="18" fillId="0" borderId="0" xfId="0" applyNumberFormat="1" applyFont="1"/>
    <xf numFmtId="0" fontId="18" fillId="0" borderId="0" xfId="0" applyFont="1"/>
    <xf numFmtId="9" fontId="18" fillId="0" borderId="0" xfId="2" applyFont="1" applyFill="1"/>
    <xf numFmtId="0" fontId="9" fillId="0" borderId="0" xfId="0" applyFont="1" applyAlignment="1">
      <alignment horizontal="left"/>
    </xf>
    <xf numFmtId="0" fontId="19" fillId="0" borderId="0" xfId="0" applyFont="1" applyAlignment="1">
      <alignment horizontal="right"/>
    </xf>
    <xf numFmtId="165" fontId="20" fillId="0" borderId="0" xfId="0" applyNumberFormat="1" applyFont="1"/>
    <xf numFmtId="0" fontId="20" fillId="0" borderId="0" xfId="0" applyFont="1"/>
    <xf numFmtId="9" fontId="20" fillId="0" borderId="0" xfId="2" applyFont="1" applyFill="1"/>
    <xf numFmtId="0" fontId="20" fillId="0" borderId="0" xfId="0" applyFont="1" applyAlignment="1">
      <alignment horizontal="right"/>
    </xf>
    <xf numFmtId="9" fontId="20" fillId="0" borderId="0" xfId="2" applyFont="1"/>
    <xf numFmtId="0" fontId="0" fillId="3" borderId="0" xfId="0" applyFill="1"/>
    <xf numFmtId="0" fontId="8" fillId="3" borderId="0" xfId="0" applyFont="1" applyFill="1"/>
    <xf numFmtId="0" fontId="12" fillId="3" borderId="0" xfId="0" applyFont="1" applyFill="1"/>
    <xf numFmtId="0" fontId="13" fillId="3" borderId="0" xfId="0" applyFont="1" applyFill="1"/>
    <xf numFmtId="9" fontId="0" fillId="4" borderId="0" xfId="0" applyNumberFormat="1" applyFill="1"/>
    <xf numFmtId="0" fontId="3" fillId="4" borderId="0" xfId="0" applyFont="1" applyFill="1"/>
    <xf numFmtId="0" fontId="0" fillId="4" borderId="0" xfId="0" applyFill="1"/>
    <xf numFmtId="0" fontId="8" fillId="4" borderId="0" xfId="0" applyFont="1" applyFill="1"/>
    <xf numFmtId="165" fontId="8" fillId="4" borderId="0" xfId="0" applyNumberFormat="1" applyFont="1" applyFill="1"/>
    <xf numFmtId="165" fontId="0" fillId="4" borderId="0" xfId="0" applyNumberFormat="1" applyFill="1"/>
    <xf numFmtId="165" fontId="18" fillId="4" borderId="0" xfId="0" applyNumberFormat="1" applyFont="1" applyFill="1"/>
    <xf numFmtId="165" fontId="10" fillId="4" borderId="0" xfId="0" applyNumberFormat="1" applyFont="1" applyFill="1"/>
    <xf numFmtId="165" fontId="20" fillId="4" borderId="0" xfId="0" applyNumberFormat="1" applyFont="1" applyFill="1"/>
    <xf numFmtId="10" fontId="12" fillId="4" borderId="0" xfId="2" applyNumberFormat="1" applyFont="1" applyFill="1"/>
    <xf numFmtId="165" fontId="12" fillId="4" borderId="0" xfId="0" applyNumberFormat="1" applyFont="1" applyFill="1"/>
    <xf numFmtId="0" fontId="13" fillId="4" borderId="0" xfId="0" applyFont="1" applyFill="1"/>
    <xf numFmtId="0" fontId="12" fillId="4" borderId="0" xfId="0" applyFont="1" applyFill="1"/>
    <xf numFmtId="0" fontId="0" fillId="0" borderId="0" xfId="0" applyAlignment="1">
      <alignment horizontal="center"/>
    </xf>
    <xf numFmtId="164" fontId="0" fillId="3" borderId="0" xfId="0" applyNumberFormat="1" applyFill="1"/>
    <xf numFmtId="164" fontId="21" fillId="4" borderId="0" xfId="0" applyNumberFormat="1" applyFont="1" applyFill="1"/>
    <xf numFmtId="0" fontId="0" fillId="4" borderId="0" xfId="0" applyFill="1" applyAlignment="1">
      <alignment horizontal="right"/>
    </xf>
    <xf numFmtId="164" fontId="8" fillId="4" borderId="0" xfId="2" applyNumberFormat="1" applyFont="1" applyFill="1"/>
    <xf numFmtId="164" fontId="0" fillId="4" borderId="0" xfId="2" applyNumberFormat="1" applyFont="1" applyFill="1"/>
    <xf numFmtId="9" fontId="18" fillId="4" borderId="0" xfId="2" applyFont="1" applyFill="1"/>
    <xf numFmtId="164" fontId="10" fillId="4" borderId="0" xfId="2" applyNumberFormat="1" applyFont="1" applyFill="1"/>
    <xf numFmtId="164" fontId="20" fillId="4" borderId="0" xfId="2" applyNumberFormat="1" applyFont="1" applyFill="1"/>
    <xf numFmtId="164" fontId="12" fillId="4" borderId="0" xfId="2" applyNumberFormat="1" applyFont="1" applyFill="1"/>
    <xf numFmtId="164" fontId="13" fillId="4" borderId="0" xfId="2" applyNumberFormat="1" applyFont="1" applyFill="1"/>
    <xf numFmtId="164" fontId="16" fillId="4" borderId="0" xfId="2" applyNumberFormat="1" applyFont="1" applyFill="1"/>
    <xf numFmtId="0" fontId="0" fillId="3" borderId="0" xfId="0" applyFill="1" applyAlignment="1">
      <alignment horizontal="right"/>
    </xf>
    <xf numFmtId="164" fontId="8" fillId="3" borderId="0" xfId="2" applyNumberFormat="1" applyFont="1" applyFill="1"/>
    <xf numFmtId="164" fontId="0" fillId="3" borderId="0" xfId="2" applyNumberFormat="1" applyFont="1" applyFill="1"/>
    <xf numFmtId="9" fontId="18" fillId="3" borderId="0" xfId="2" applyFont="1" applyFill="1"/>
    <xf numFmtId="164" fontId="10" fillId="3" borderId="0" xfId="2" applyNumberFormat="1" applyFont="1" applyFill="1"/>
    <xf numFmtId="164" fontId="20" fillId="3" borderId="0" xfId="2" applyNumberFormat="1" applyFont="1" applyFill="1"/>
    <xf numFmtId="164" fontId="12" fillId="3" borderId="0" xfId="2" applyNumberFormat="1" applyFont="1" applyFill="1"/>
    <xf numFmtId="164" fontId="13" fillId="3" borderId="0" xfId="2" applyNumberFormat="1" applyFont="1" applyFill="1"/>
    <xf numFmtId="164" fontId="16" fillId="3" borderId="0" xfId="2" applyNumberFormat="1" applyFont="1" applyFill="1"/>
    <xf numFmtId="9" fontId="0" fillId="3" borderId="0" xfId="0" applyNumberFormat="1" applyFill="1"/>
    <xf numFmtId="0" fontId="3" fillId="3" borderId="0" xfId="0" applyFont="1" applyFill="1"/>
    <xf numFmtId="165" fontId="8" fillId="3" borderId="0" xfId="0" applyNumberFormat="1" applyFont="1" applyFill="1"/>
    <xf numFmtId="165" fontId="0" fillId="3" borderId="0" xfId="0" applyNumberFormat="1" applyFill="1"/>
    <xf numFmtId="165" fontId="18" fillId="3" borderId="0" xfId="0" applyNumberFormat="1" applyFont="1" applyFill="1"/>
    <xf numFmtId="165" fontId="10" fillId="3" borderId="0" xfId="0" applyNumberFormat="1" applyFont="1" applyFill="1"/>
    <xf numFmtId="165" fontId="20" fillId="3" borderId="0" xfId="0" applyNumberFormat="1" applyFont="1" applyFill="1"/>
    <xf numFmtId="165" fontId="12" fillId="3" borderId="0" xfId="0" applyNumberFormat="1" applyFont="1" applyFill="1"/>
    <xf numFmtId="0" fontId="6" fillId="5" borderId="0" xfId="0" applyFont="1" applyFill="1"/>
    <xf numFmtId="0" fontId="0" fillId="5" borderId="0" xfId="0" applyFill="1"/>
    <xf numFmtId="0" fontId="5" fillId="5" borderId="0" xfId="0" applyFont="1" applyFill="1"/>
    <xf numFmtId="0" fontId="0" fillId="5" borderId="2" xfId="0" applyFill="1" applyBorder="1"/>
    <xf numFmtId="0" fontId="22" fillId="5" borderId="0" xfId="3" applyFill="1"/>
    <xf numFmtId="0" fontId="14" fillId="5" borderId="0" xfId="0" applyFont="1" applyFill="1"/>
    <xf numFmtId="0" fontId="0" fillId="5" borderId="2" xfId="0" applyFill="1" applyBorder="1" applyAlignment="1">
      <alignment horizontal="right"/>
    </xf>
    <xf numFmtId="0" fontId="0" fillId="5" borderId="0" xfId="0" applyFill="1" applyAlignment="1">
      <alignment horizontal="left"/>
    </xf>
    <xf numFmtId="9" fontId="0" fillId="5" borderId="0" xfId="2" applyFont="1" applyFill="1"/>
    <xf numFmtId="0" fontId="0" fillId="5" borderId="0" xfId="0" applyFill="1" applyAlignment="1">
      <alignment horizontal="right"/>
    </xf>
    <xf numFmtId="2" fontId="0" fillId="5" borderId="0" xfId="2" applyNumberFormat="1" applyFont="1" applyFill="1"/>
    <xf numFmtId="0" fontId="5" fillId="5" borderId="2" xfId="0" applyFont="1" applyFill="1" applyBorder="1"/>
    <xf numFmtId="0" fontId="0" fillId="0" borderId="2" xfId="0" applyBorder="1" applyAlignment="1">
      <alignment horizontal="center"/>
    </xf>
    <xf numFmtId="0" fontId="6" fillId="0" borderId="0" xfId="0" quotePrefix="1" applyFont="1"/>
    <xf numFmtId="0" fontId="6" fillId="0" borderId="0" xfId="0" applyFont="1" applyAlignment="1">
      <alignment horizontal="left"/>
    </xf>
    <xf numFmtId="0" fontId="0" fillId="0" borderId="2" xfId="0" applyBorder="1" applyAlignment="1">
      <alignment horizontal="left" indent="1"/>
    </xf>
    <xf numFmtId="166" fontId="6" fillId="0" borderId="0" xfId="0" applyNumberFormat="1" applyFont="1"/>
    <xf numFmtId="166" fontId="14" fillId="0" borderId="0" xfId="0" applyNumberFormat="1" applyFont="1"/>
    <xf numFmtId="166" fontId="14" fillId="0" borderId="2" xfId="0" applyNumberFormat="1" applyFont="1" applyBorder="1"/>
    <xf numFmtId="0" fontId="0" fillId="0" borderId="0" xfId="0" applyAlignment="1">
      <alignment horizontal="left" wrapText="1"/>
    </xf>
    <xf numFmtId="0" fontId="0" fillId="0" borderId="0" xfId="0" applyAlignment="1">
      <alignment wrapText="1"/>
    </xf>
    <xf numFmtId="3" fontId="0" fillId="0" borderId="0" xfId="0" applyNumberFormat="1"/>
    <xf numFmtId="1" fontId="0" fillId="0" borderId="0" xfId="0" applyNumberFormat="1"/>
    <xf numFmtId="164" fontId="0" fillId="0" borderId="0" xfId="0" applyNumberFormat="1"/>
    <xf numFmtId="164" fontId="0" fillId="0" borderId="2" xfId="0" applyNumberFormat="1" applyBorder="1"/>
    <xf numFmtId="164" fontId="0" fillId="0" borderId="2" xfId="2" applyNumberFormat="1" applyFont="1" applyBorder="1"/>
    <xf numFmtId="164" fontId="6" fillId="0" borderId="0" xfId="2" applyNumberFormat="1" applyFont="1"/>
    <xf numFmtId="164" fontId="6" fillId="0" borderId="0" xfId="0" applyNumberFormat="1" applyFont="1"/>
    <xf numFmtId="0" fontId="22" fillId="5" borderId="0" xfId="3" quotePrefix="1" applyFill="1"/>
    <xf numFmtId="165" fontId="3" fillId="0" borderId="0" xfId="0" applyNumberFormat="1" applyFont="1"/>
    <xf numFmtId="0" fontId="22" fillId="0" borderId="0" xfId="3"/>
    <xf numFmtId="0" fontId="14" fillId="0" borderId="0" xfId="0" applyFont="1"/>
    <xf numFmtId="167" fontId="0" fillId="0" borderId="0" xfId="0" applyNumberFormat="1"/>
    <xf numFmtId="167" fontId="0" fillId="0" borderId="2" xfId="0" applyNumberFormat="1" applyBorder="1"/>
    <xf numFmtId="0" fontId="0" fillId="0" borderId="0" xfId="0" quotePrefix="1" applyAlignment="1">
      <alignment horizontal="left"/>
    </xf>
    <xf numFmtId="168" fontId="0" fillId="0" borderId="0" xfId="0" applyNumberFormat="1"/>
    <xf numFmtId="0" fontId="25" fillId="0" borderId="2" xfId="4" applyFont="1" applyBorder="1" applyAlignment="1">
      <alignment wrapText="1"/>
    </xf>
    <xf numFmtId="0" fontId="26" fillId="0" borderId="2" xfId="4" applyFont="1" applyBorder="1" applyAlignment="1">
      <alignment horizontal="right"/>
    </xf>
    <xf numFmtId="0" fontId="25" fillId="0" borderId="2" xfId="4" applyFont="1" applyBorder="1" applyAlignment="1">
      <alignment horizontal="right" wrapText="1"/>
    </xf>
    <xf numFmtId="0" fontId="27" fillId="0" borderId="0" xfId="5"/>
    <xf numFmtId="0" fontId="28" fillId="0" borderId="0" xfId="5" applyFont="1"/>
    <xf numFmtId="0" fontId="28" fillId="0" borderId="0" xfId="5" quotePrefix="1" applyFont="1"/>
    <xf numFmtId="0" fontId="26" fillId="0" borderId="0" xfId="0" applyFont="1"/>
    <xf numFmtId="9" fontId="28" fillId="0" borderId="0" xfId="2" applyFont="1"/>
    <xf numFmtId="166" fontId="28" fillId="0" borderId="0" xfId="5" applyNumberFormat="1" applyFont="1"/>
    <xf numFmtId="1" fontId="28" fillId="0" borderId="0" xfId="5" applyNumberFormat="1" applyFont="1"/>
    <xf numFmtId="164" fontId="28" fillId="0" borderId="0" xfId="2" applyNumberFormat="1" applyFont="1"/>
    <xf numFmtId="1" fontId="28" fillId="0" borderId="0" xfId="2" applyNumberFormat="1" applyFont="1"/>
    <xf numFmtId="3" fontId="28" fillId="0" borderId="0" xfId="5" applyNumberFormat="1" applyFont="1"/>
    <xf numFmtId="9" fontId="29" fillId="0" borderId="0" xfId="0" applyNumberFormat="1" applyFont="1"/>
    <xf numFmtId="9" fontId="28" fillId="0" borderId="0" xfId="5" applyNumberFormat="1" applyFont="1"/>
    <xf numFmtId="165" fontId="28" fillId="0" borderId="0" xfId="5" applyNumberFormat="1" applyFont="1"/>
    <xf numFmtId="2" fontId="28" fillId="0" borderId="0" xfId="5" applyNumberFormat="1" applyFont="1"/>
    <xf numFmtId="169" fontId="28" fillId="0" borderId="0" xfId="5" applyNumberFormat="1" applyFont="1"/>
    <xf numFmtId="10" fontId="28" fillId="0" borderId="0" xfId="2" applyNumberFormat="1" applyFont="1" applyFill="1"/>
    <xf numFmtId="9" fontId="28" fillId="0" borderId="0" xfId="2" applyFont="1" applyFill="1"/>
    <xf numFmtId="164" fontId="28" fillId="0" borderId="0" xfId="2" applyNumberFormat="1" applyFont="1" applyFill="1"/>
    <xf numFmtId="164" fontId="28" fillId="0" borderId="0" xfId="5" applyNumberFormat="1" applyFont="1"/>
    <xf numFmtId="0" fontId="6" fillId="0" borderId="0" xfId="0" applyFont="1" applyAlignment="1">
      <alignment horizontal="left"/>
    </xf>
    <xf numFmtId="0" fontId="5" fillId="0" borderId="0" xfId="0" applyFont="1" applyAlignment="1">
      <alignment horizontal="left"/>
    </xf>
    <xf numFmtId="0" fontId="0" fillId="0" borderId="2" xfId="0" applyBorder="1" applyAlignment="1">
      <alignment horizontal="center"/>
    </xf>
    <xf numFmtId="0" fontId="0" fillId="0" borderId="0" xfId="0" applyAlignment="1">
      <alignment horizontal="left"/>
    </xf>
    <xf numFmtId="0" fontId="0" fillId="0" borderId="0" xfId="0" applyAlignment="1">
      <alignment horizontal="left" wrapText="1"/>
    </xf>
    <xf numFmtId="0" fontId="0" fillId="0" borderId="0" xfId="0" applyAlignment="1">
      <alignment horizontal="left" vertical="top" wrapText="1"/>
    </xf>
    <xf numFmtId="168" fontId="0" fillId="0" borderId="0" xfId="0" applyNumberFormat="1" applyAlignment="1">
      <alignment horizontal="left" wrapText="1"/>
    </xf>
    <xf numFmtId="0" fontId="5" fillId="0" borderId="0" xfId="0" applyFont="1" applyAlignment="1">
      <alignment horizontal="center"/>
    </xf>
    <xf numFmtId="0" fontId="14" fillId="0" borderId="0" xfId="0" applyFont="1" applyAlignment="1">
      <alignment horizontal="left" wrapText="1"/>
    </xf>
    <xf numFmtId="0" fontId="0" fillId="0" borderId="0" xfId="0" applyAlignment="1">
      <alignment horizontal="center"/>
    </xf>
    <xf numFmtId="0" fontId="0" fillId="0" borderId="0" xfId="0" applyAlignment="1">
      <alignment horizontal="center" wrapText="1"/>
    </xf>
    <xf numFmtId="0" fontId="0" fillId="0" borderId="2" xfId="0" applyBorder="1" applyAlignment="1">
      <alignment horizontal="center" wrapText="1"/>
    </xf>
    <xf numFmtId="0" fontId="0" fillId="5" borderId="2" xfId="0" applyFill="1" applyBorder="1" applyAlignment="1">
      <alignment horizontal="left"/>
    </xf>
    <xf numFmtId="0" fontId="4" fillId="0" borderId="0" xfId="0" applyFont="1" applyAlignment="1">
      <alignment horizontal="left" wrapText="1"/>
    </xf>
    <xf numFmtId="0" fontId="0" fillId="5" borderId="4" xfId="0" applyFill="1" applyBorder="1" applyAlignment="1">
      <alignment horizontal="left"/>
    </xf>
    <xf numFmtId="0" fontId="0" fillId="5" borderId="0" xfId="0" applyFill="1" applyAlignment="1">
      <alignment horizontal="left"/>
    </xf>
    <xf numFmtId="0" fontId="0" fillId="4" borderId="6" xfId="0" applyFill="1" applyBorder="1" applyAlignment="1">
      <alignment horizontal="center"/>
    </xf>
    <xf numFmtId="0" fontId="0" fillId="3" borderId="0" xfId="0" applyFill="1" applyAlignment="1">
      <alignment horizontal="center"/>
    </xf>
    <xf numFmtId="0" fontId="0" fillId="4" borderId="7" xfId="0" applyFill="1" applyBorder="1" applyAlignment="1">
      <alignment horizontal="center"/>
    </xf>
    <xf numFmtId="0" fontId="0" fillId="0" borderId="0" xfId="0" applyAlignment="1">
      <alignment horizontal="right" wrapText="1"/>
    </xf>
    <xf numFmtId="0" fontId="0" fillId="0" borderId="2" xfId="0" applyBorder="1" applyAlignment="1">
      <alignment horizontal="right" wrapText="1"/>
    </xf>
    <xf numFmtId="0" fontId="22" fillId="5" borderId="7" xfId="3" quotePrefix="1" applyFill="1" applyBorder="1" applyAlignment="1">
      <alignment horizontal="left" vertical="center"/>
    </xf>
    <xf numFmtId="0" fontId="22" fillId="5" borderId="0" xfId="3" quotePrefix="1" applyFill="1" applyAlignment="1">
      <alignment horizontal="left" vertical="center"/>
    </xf>
    <xf numFmtId="0" fontId="22" fillId="5" borderId="0" xfId="3" applyFill="1" applyAlignment="1">
      <alignment horizontal="left" vertical="center"/>
    </xf>
  </cellXfs>
  <cellStyles count="6">
    <cellStyle name="Hyperlink" xfId="3" builtinId="8"/>
    <cellStyle name="Input" xfId="1" builtinId="20"/>
    <cellStyle name="Normal" xfId="0" builtinId="0"/>
    <cellStyle name="Normal 2" xfId="5" xr:uid="{EB48AD7A-AE7D-6548-BD83-EC5FD8F1EBBF}"/>
    <cellStyle name="Normal 3 2" xfId="4" xr:uid="{5A3F7ABA-FC01-2C46-806F-9C9FBEDF5274}"/>
    <cellStyle name="Percent" xfId="2" builtinId="5"/>
  </cellStyles>
  <dxfs count="12">
    <dxf>
      <font>
        <color theme="6" tint="0.79998168889431442"/>
      </font>
    </dxf>
    <dxf>
      <font>
        <color theme="5" tint="0.79998168889431442"/>
      </font>
    </dxf>
    <dxf>
      <font>
        <color theme="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dxf>
    <dxf>
      <font>
        <color rgb="FF9C0006"/>
      </font>
      <fill>
        <patternFill>
          <bgColor rgb="FFFFC7CE"/>
        </patternFill>
      </fill>
    </dxf>
    <dxf>
      <font>
        <color theme="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432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baseline="0">
                <a:solidFill>
                  <a:schemeClr val="tx1"/>
                </a:solidFill>
                <a:latin typeface="+mn-lt"/>
                <a:ea typeface="+mn-ea"/>
                <a:cs typeface="+mn-cs"/>
              </a:defRPr>
            </a:pPr>
            <a:r>
              <a:rPr lang="en-US" sz="1600" b="1">
                <a:solidFill>
                  <a:schemeClr val="tx1"/>
                </a:solidFill>
              </a:rPr>
              <a:t>Net costs</a:t>
            </a:r>
            <a:r>
              <a:rPr lang="en-US" sz="1600" b="1" baseline="0">
                <a:solidFill>
                  <a:schemeClr val="tx1"/>
                </a:solidFill>
              </a:rPr>
              <a:t> of Pharmacy DIR regulation</a:t>
            </a:r>
          </a:p>
          <a:p>
            <a:pPr>
              <a:defRPr sz="1600" b="1">
                <a:solidFill>
                  <a:schemeClr val="tx1"/>
                </a:solidFill>
              </a:defRPr>
            </a:pPr>
            <a:r>
              <a:rPr lang="en-US" sz="1600" b="1" baseline="0">
                <a:solidFill>
                  <a:schemeClr val="tx1"/>
                </a:solidFill>
              </a:rPr>
              <a:t>per $1.00 </a:t>
            </a:r>
            <a:r>
              <a:rPr lang="en-US" sz="1600" b="1">
                <a:solidFill>
                  <a:schemeClr val="tx1"/>
                </a:solidFill>
              </a:rPr>
              <a:t>of benefit to</a:t>
            </a:r>
            <a:r>
              <a:rPr lang="en-US" sz="1600" b="1" baseline="0">
                <a:solidFill>
                  <a:schemeClr val="tx1"/>
                </a:solidFill>
              </a:rPr>
              <a:t> pharmacies</a:t>
            </a:r>
            <a:endParaRPr lang="en-US" sz="1600" b="1">
              <a:solidFill>
                <a:schemeClr val="tx1"/>
              </a:solidFill>
            </a:endParaRPr>
          </a:p>
        </c:rich>
      </c:tx>
      <c:overlay val="0"/>
      <c:spPr>
        <a:noFill/>
        <a:ln>
          <a:noFill/>
        </a:ln>
        <a:effectLst/>
      </c:spPr>
      <c:txPr>
        <a:bodyPr rot="0" spcFirstLastPara="1" vertOverflow="ellipsis" vert="horz" wrap="square" anchor="ctr" anchorCtr="1"/>
        <a:lstStyle/>
        <a:p>
          <a:pPr>
            <a:defRPr sz="1600" b="1" i="0" u="none" strike="noStrike" kern="1200" spc="0" baseline="0">
              <a:solidFill>
                <a:schemeClr val="tx1"/>
              </a:solidFill>
              <a:latin typeface="+mn-lt"/>
              <a:ea typeface="+mn-ea"/>
              <a:cs typeface="+mn-cs"/>
            </a:defRPr>
          </a:pPr>
          <a:endParaRPr lang="en-US"/>
        </a:p>
      </c:txPr>
    </c:title>
    <c:autoTitleDeleted val="0"/>
    <c:plotArea>
      <c:layout>
        <c:manualLayout>
          <c:layoutTarget val="inner"/>
          <c:xMode val="edge"/>
          <c:yMode val="edge"/>
          <c:x val="0.3088816596789038"/>
          <c:y val="0.14559241706161138"/>
          <c:w val="0.64769301564577153"/>
          <c:h val="0.50767362018136364"/>
        </c:manualLayout>
      </c:layout>
      <c:barChart>
        <c:barDir val="bar"/>
        <c:grouping val="clustered"/>
        <c:varyColors val="0"/>
        <c:ser>
          <c:idx val="0"/>
          <c:order val="0"/>
          <c:spPr>
            <a:solidFill>
              <a:schemeClr val="accent1"/>
            </a:solidFill>
            <a:ln>
              <a:noFill/>
            </a:ln>
            <a:effectLst/>
          </c:spPr>
          <c:invertIfNegative val="0"/>
          <c:cat>
            <c:strRef>
              <c:f>Tables34!$F$14:$F$18</c:f>
              <c:strCache>
                <c:ptCount val="5"/>
                <c:pt idx="0">
                  <c:v>Payers of nondrug health costs</c:v>
                </c:pt>
                <c:pt idx="1">
                  <c:v>Future patients</c:v>
                </c:pt>
                <c:pt idx="2">
                  <c:v>Workers and savers</c:v>
                </c:pt>
                <c:pt idx="3">
                  <c:v>Manufacturers</c:v>
                </c:pt>
                <c:pt idx="4">
                  <c:v>Patients and plans</c:v>
                </c:pt>
              </c:strCache>
            </c:strRef>
          </c:cat>
          <c:val>
            <c:numRef>
              <c:f>Tables34!$G$14:$G$18</c:f>
              <c:numCache>
                <c:formatCode>"$"#,##0.00</c:formatCode>
                <c:ptCount val="5"/>
                <c:pt idx="0">
                  <c:v>9.1121707669652469E-2</c:v>
                </c:pt>
                <c:pt idx="1">
                  <c:v>0.14267262991587251</c:v>
                </c:pt>
                <c:pt idx="2">
                  <c:v>3.6027182100795687</c:v>
                </c:pt>
                <c:pt idx="3">
                  <c:v>0.25045970153840436</c:v>
                </c:pt>
                <c:pt idx="4">
                  <c:v>2.7364644153629962</c:v>
                </c:pt>
              </c:numCache>
            </c:numRef>
          </c:val>
          <c:extLst>
            <c:ext xmlns:c16="http://schemas.microsoft.com/office/drawing/2014/chart" uri="{C3380CC4-5D6E-409C-BE32-E72D297353CC}">
              <c16:uniqueId val="{00000000-17F4-9240-A1E6-D6DD59C8F178}"/>
            </c:ext>
          </c:extLst>
        </c:ser>
        <c:dLbls>
          <c:showLegendKey val="0"/>
          <c:showVal val="0"/>
          <c:showCatName val="0"/>
          <c:showSerName val="0"/>
          <c:showPercent val="0"/>
          <c:showBubbleSize val="0"/>
        </c:dLbls>
        <c:gapWidth val="182"/>
        <c:axId val="552324096"/>
        <c:axId val="552309904"/>
      </c:barChart>
      <c:catAx>
        <c:axId val="55232409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solidFill>
                <a:latin typeface="+mn-lt"/>
                <a:ea typeface="+mn-ea"/>
                <a:cs typeface="+mn-cs"/>
              </a:defRPr>
            </a:pPr>
            <a:endParaRPr lang="en-US"/>
          </a:p>
        </c:txPr>
        <c:crossAx val="552309904"/>
        <c:crosses val="autoZero"/>
        <c:auto val="1"/>
        <c:lblAlgn val="ctr"/>
        <c:lblOffset val="100"/>
        <c:noMultiLvlLbl val="0"/>
      </c:catAx>
      <c:valAx>
        <c:axId val="552309904"/>
        <c:scaling>
          <c:orientation val="minMax"/>
          <c:max val="3.9"/>
          <c:min val="0"/>
        </c:scaling>
        <c:delete val="0"/>
        <c:axPos val="b"/>
        <c:majorGridlines>
          <c:spPr>
            <a:ln w="9525" cap="flat" cmpd="sng" algn="ctr">
              <a:solidFill>
                <a:schemeClr val="tx1">
                  <a:lumMod val="15000"/>
                  <a:lumOff val="85000"/>
                </a:schemeClr>
              </a:solidFill>
              <a:round/>
            </a:ln>
            <a:effectLst/>
          </c:spPr>
        </c:majorGridlines>
        <c:numFmt formatCode="&quot;$&quot;#,##0.00" sourceLinked="1"/>
        <c:majorTickMark val="none"/>
        <c:minorTickMark val="none"/>
        <c:tickLblPos val="nextTo"/>
        <c:spPr>
          <a:noFill/>
          <a:ln>
            <a:noFill/>
          </a:ln>
          <a:effectLst/>
        </c:spPr>
        <c:txPr>
          <a:bodyPr rot="-60000000" spcFirstLastPara="1" vertOverflow="ellipsis" vert="horz" wrap="square" anchor="ctr" anchorCtr="1"/>
          <a:lstStyle/>
          <a:p>
            <a:pPr>
              <a:defRPr sz="1400" b="0" i="0" u="none" strike="noStrike" kern="1200" baseline="0">
                <a:solidFill>
                  <a:schemeClr val="tx1"/>
                </a:solidFill>
                <a:latin typeface="+mn-lt"/>
                <a:ea typeface="+mn-ea"/>
                <a:cs typeface="+mn-cs"/>
              </a:defRPr>
            </a:pPr>
            <a:endParaRPr lang="en-US"/>
          </a:p>
        </c:txPr>
        <c:crossAx val="552324096"/>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9</xdr:col>
      <xdr:colOff>12700</xdr:colOff>
      <xdr:row>0</xdr:row>
      <xdr:rowOff>0</xdr:rowOff>
    </xdr:from>
    <xdr:to>
      <xdr:col>18</xdr:col>
      <xdr:colOff>406400</xdr:colOff>
      <xdr:row>26</xdr:row>
      <xdr:rowOff>76200</xdr:rowOff>
    </xdr:to>
    <xdr:graphicFrame macro="">
      <xdr:nvGraphicFramePr>
        <xdr:cNvPr id="5" name="Chart 4">
          <a:extLst>
            <a:ext uri="{FF2B5EF4-FFF2-40B4-BE49-F238E27FC236}">
              <a16:creationId xmlns:a16="http://schemas.microsoft.com/office/drawing/2014/main" id="{2E02BC44-9EA9-B626-4336-DDE38961CBD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0.02001</cdr:x>
      <cdr:y>0.8981</cdr:y>
    </cdr:from>
    <cdr:to>
      <cdr:x>0.99675</cdr:x>
      <cdr:y>0.94787</cdr:y>
    </cdr:to>
    <cdr:sp macro="" textlink="Tables34!$G$19">
      <cdr:nvSpPr>
        <cdr:cNvPr id="2" name="TextBox 1">
          <a:extLst xmlns:a="http://schemas.openxmlformats.org/drawingml/2006/main">
            <a:ext uri="{FF2B5EF4-FFF2-40B4-BE49-F238E27FC236}">
              <a16:creationId xmlns:a16="http://schemas.microsoft.com/office/drawing/2014/main" id="{D01D2B36-3FD4-4E2E-D601-AB6D18DA33C4}"/>
            </a:ext>
          </a:extLst>
        </cdr:cNvPr>
        <cdr:cNvSpPr txBox="1"/>
      </cdr:nvSpPr>
      <cdr:spPr>
        <a:xfrm xmlns:a="http://schemas.openxmlformats.org/drawingml/2006/main">
          <a:off x="156541" y="4813300"/>
          <a:ext cx="7641259" cy="266700"/>
        </a:xfrm>
        <a:prstGeom xmlns:a="http://schemas.openxmlformats.org/drawingml/2006/main" prst="rect">
          <a:avLst/>
        </a:prstGeom>
      </cdr:spPr>
      <cdr:txBody>
        <a:bodyPr xmlns:a="http://schemas.openxmlformats.org/drawingml/2006/main" vertOverflow="clip" horzOverflow="clip" wrap="square" rtlCol="0">
          <a:noAutofit/>
        </a:bodyPr>
        <a:lstStyle xmlns:a="http://schemas.openxmlformats.org/drawingml/2006/main"/>
        <a:p xmlns:a="http://schemas.openxmlformats.org/drawingml/2006/main">
          <a:fld id="{E2F3256F-AFD3-9C4B-B19E-DA6E2864CF61}" type="TxLink">
            <a:rPr lang="en-US" sz="1200" b="0" i="0" u="none" strike="noStrike">
              <a:solidFill>
                <a:srgbClr val="000000"/>
              </a:solidFill>
              <a:latin typeface="Times New Roman"/>
              <a:cs typeface="Times New Roman"/>
            </a:rPr>
            <a:pPr/>
            <a:t>The net cost summed across the five categories is $6.82 for each dollar of pharmacy benefit.</a:t>
          </a:fld>
          <a:endParaRPr lang="en-US" sz="1200"/>
        </a:p>
      </cdr:txBody>
    </cdr:sp>
  </cdr:relSizeAnchor>
  <cdr:relSizeAnchor xmlns:cdr="http://schemas.openxmlformats.org/drawingml/2006/chartDrawing">
    <cdr:from>
      <cdr:x>0.02001</cdr:x>
      <cdr:y>0.75592</cdr:y>
    </cdr:from>
    <cdr:to>
      <cdr:x>0.99675</cdr:x>
      <cdr:y>0.90521</cdr:y>
    </cdr:to>
    <cdr:sp macro="" textlink="">
      <cdr:nvSpPr>
        <cdr:cNvPr id="3" name="TextBox 1">
          <a:extLst xmlns:a="http://schemas.openxmlformats.org/drawingml/2006/main">
            <a:ext uri="{FF2B5EF4-FFF2-40B4-BE49-F238E27FC236}">
              <a16:creationId xmlns:a16="http://schemas.microsoft.com/office/drawing/2014/main" id="{1CDB8A18-B7B9-DFE3-0626-83FE44AD16E6}"/>
            </a:ext>
          </a:extLst>
        </cdr:cNvPr>
        <cdr:cNvSpPr txBox="1"/>
      </cdr:nvSpPr>
      <cdr:spPr>
        <a:xfrm xmlns:a="http://schemas.openxmlformats.org/drawingml/2006/main">
          <a:off x="156541" y="4051300"/>
          <a:ext cx="7641259" cy="80010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200" b="0" i="0" u="none" strike="noStrike">
              <a:solidFill>
                <a:srgbClr val="000000"/>
              </a:solidFill>
              <a:latin typeface="+mn-lt"/>
              <a:cs typeface="Times New Roman"/>
            </a:rPr>
            <a:t>While potentially benefitting pharmacies by providing a degree of protection against competition, pharmacy DIR regulation in the 2023 PBM Transparency Act would increase the costs of benefit management.  The resulting increased pharmacy fees, increased plan premiums, and reduced utilization impose net monetary and opportunity costs on patients, plans, manufacturers, workers and savers, future patients, and payers of nondrug health expenses.</a:t>
          </a:r>
          <a:endParaRPr lang="en-US" sz="1200"/>
        </a:p>
      </cdr:txBody>
    </cdr:sp>
  </cdr:relSizeAnchor>
  <cdr:relSizeAnchor xmlns:cdr="http://schemas.openxmlformats.org/drawingml/2006/chartDrawing">
    <cdr:from>
      <cdr:x>0.02273</cdr:x>
      <cdr:y>0.94313</cdr:y>
    </cdr:from>
    <cdr:to>
      <cdr:x>0.99947</cdr:x>
      <cdr:y>0.98578</cdr:y>
    </cdr:to>
    <cdr:sp macro="" textlink="">
      <cdr:nvSpPr>
        <cdr:cNvPr id="5" name="TextBox 1">
          <a:extLst xmlns:a="http://schemas.openxmlformats.org/drawingml/2006/main">
            <a:ext uri="{FF2B5EF4-FFF2-40B4-BE49-F238E27FC236}">
              <a16:creationId xmlns:a16="http://schemas.microsoft.com/office/drawing/2014/main" id="{3163B510-AB5F-D426-B725-D0F2072407AD}"/>
            </a:ext>
          </a:extLst>
        </cdr:cNvPr>
        <cdr:cNvSpPr txBox="1"/>
      </cdr:nvSpPr>
      <cdr:spPr>
        <a:xfrm xmlns:a="http://schemas.openxmlformats.org/drawingml/2006/main">
          <a:off x="177800" y="5054600"/>
          <a:ext cx="7641259" cy="22860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b="0" i="0" u="sng" strike="noStrike">
              <a:solidFill>
                <a:srgbClr val="000000"/>
              </a:solidFill>
              <a:latin typeface="+mn-lt"/>
              <a:cs typeface="Times New Roman"/>
            </a:rPr>
            <a:t>Source</a:t>
          </a:r>
          <a:r>
            <a:rPr lang="en-US" sz="1100" b="0" i="0" u="none" strike="noStrike">
              <a:solidFill>
                <a:srgbClr val="000000"/>
              </a:solidFill>
              <a:latin typeface="+mn-lt"/>
              <a:cs typeface="Times New Roman"/>
            </a:rPr>
            <a:t>: Table 3 of "Restrict the Middleman? Quantitative models of PBM regulations</a:t>
          </a:r>
          <a:r>
            <a:rPr lang="en-US" sz="1100" b="0" i="0" u="none" strike="noStrike" baseline="0">
              <a:solidFill>
                <a:srgbClr val="000000"/>
              </a:solidFill>
              <a:latin typeface="+mn-lt"/>
              <a:cs typeface="Times New Roman"/>
            </a:rPr>
            <a:t> and their consequences." (Mulligan 2023)</a:t>
          </a:r>
          <a:endParaRPr lang="en-US" sz="1100"/>
        </a:p>
      </cdr:txBody>
    </cdr:sp>
  </cdr:relSizeAnchor>
</c:userShapes>
</file>

<file path=xl/theme/theme1.xml><?xml version="1.0" encoding="utf-8"?>
<a:theme xmlns:a="http://schemas.openxmlformats.org/drawingml/2006/main" name="cbmtroma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Classic">
      <a:majorFont>
        <a:latin typeface="Arial"/>
        <a:ea typeface=""/>
        <a:cs typeface=""/>
        <a:font script="Jpan" typeface="ＭＳ Ｐゴシック"/>
        <a:font script="Hang" typeface="돋움"/>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Times New Roman"/>
        <a:ea typeface=""/>
        <a:cs typeface=""/>
        <a:font script="Jpan" typeface="ＭＳ Ｐ明朝"/>
        <a:font script="Hang" typeface="바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3" Type="http://schemas.openxmlformats.org/officeDocument/2006/relationships/hyperlink" Target="https://www.medpac.gov/wp-content/uploads/2021/10/DIR-Slides-MedPAC-29-Sept-2022.pdf" TargetMode="External"/><Relationship Id="rId2" Type="http://schemas.openxmlformats.org/officeDocument/2006/relationships/hyperlink" Target="http://www.whitehouse.gov/wp-content/uploads/legacy_drupal_files/omb/circulars/A94/a094.pdf" TargetMode="External"/><Relationship Id="rId1" Type="http://schemas.openxmlformats.org/officeDocument/2006/relationships/hyperlink" Target="https://www.reginfo.gov/public/jsp/Utilities/circular-a-4_regulatory-impact-analysis-a-primer.pdf" TargetMode="External"/><Relationship Id="rId4" Type="http://schemas.openxmlformats.org/officeDocument/2006/relationships/hyperlink" Target="https://doi.org/10.1001/jamahealthforum.2021.3409"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1" Type="http://schemas.openxmlformats.org/officeDocument/2006/relationships/hyperlink" Target="https://www.kff.org/medicare/issue-brief/how-much-does-medicare-spend-on-insuli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791C1-B5DA-5541-B657-C65E873C1D78}">
  <dimension ref="A1:L54"/>
  <sheetViews>
    <sheetView showGridLines="0" tabSelected="1" workbookViewId="0"/>
  </sheetViews>
  <sheetFormatPr baseColWidth="10" defaultRowHeight="16" x14ac:dyDescent="0.2"/>
  <cols>
    <col min="1" max="1" width="69.33203125" bestFit="1" customWidth="1"/>
    <col min="2" max="2" width="1.83203125" customWidth="1"/>
    <col min="3" max="3" width="15.1640625" bestFit="1" customWidth="1"/>
    <col min="4" max="4" width="120.83203125" customWidth="1"/>
  </cols>
  <sheetData>
    <row r="1" spans="1:12" x14ac:dyDescent="0.2">
      <c r="A1" s="140" t="s">
        <v>195</v>
      </c>
      <c r="B1" s="140"/>
      <c r="C1" s="141"/>
      <c r="D1" s="141"/>
      <c r="E1" s="141"/>
      <c r="F1" s="141"/>
      <c r="G1" s="141"/>
      <c r="H1" s="141"/>
      <c r="I1" s="141"/>
      <c r="J1" s="141"/>
      <c r="K1" s="141"/>
      <c r="L1" s="141"/>
    </row>
    <row r="2" spans="1:12" x14ac:dyDescent="0.2">
      <c r="A2" s="151" t="s">
        <v>196</v>
      </c>
      <c r="B2" s="151"/>
      <c r="C2" s="143"/>
      <c r="D2" s="143"/>
      <c r="E2" s="143"/>
      <c r="F2" s="143"/>
      <c r="G2" s="143"/>
      <c r="H2" s="143"/>
      <c r="I2" s="143"/>
      <c r="J2" s="143"/>
      <c r="K2" s="143"/>
      <c r="L2" s="143"/>
    </row>
    <row r="3" spans="1:12" x14ac:dyDescent="0.2">
      <c r="A3" s="141"/>
      <c r="B3" s="141"/>
      <c r="C3" s="141"/>
      <c r="D3" s="141"/>
      <c r="E3" s="141"/>
      <c r="F3" s="141"/>
      <c r="G3" s="141"/>
      <c r="H3" s="141"/>
      <c r="I3" s="141"/>
      <c r="J3" s="141"/>
      <c r="K3" s="141"/>
      <c r="L3" s="141"/>
    </row>
    <row r="4" spans="1:12" x14ac:dyDescent="0.2">
      <c r="A4" s="141" t="s">
        <v>312</v>
      </c>
      <c r="B4" s="141"/>
      <c r="C4" s="141"/>
      <c r="D4" s="141"/>
      <c r="E4" s="141"/>
      <c r="F4" s="141"/>
      <c r="G4" s="141"/>
      <c r="H4" s="141"/>
      <c r="I4" s="141"/>
      <c r="J4" s="141"/>
      <c r="K4" s="141"/>
      <c r="L4" s="141"/>
    </row>
    <row r="5" spans="1:12" x14ac:dyDescent="0.2">
      <c r="A5" s="141" t="s">
        <v>197</v>
      </c>
      <c r="B5" s="141"/>
      <c r="C5" s="141"/>
      <c r="D5" s="141"/>
      <c r="E5" s="141"/>
      <c r="F5" s="141"/>
      <c r="G5" s="141"/>
      <c r="H5" s="141"/>
      <c r="I5" s="141"/>
      <c r="J5" s="141"/>
      <c r="K5" s="141"/>
      <c r="L5" s="141"/>
    </row>
    <row r="6" spans="1:12" x14ac:dyDescent="0.2">
      <c r="A6" s="141" t="s">
        <v>198</v>
      </c>
      <c r="B6" s="141"/>
      <c r="C6" s="141"/>
      <c r="D6" s="141"/>
      <c r="E6" s="141"/>
      <c r="F6" s="141"/>
      <c r="G6" s="141"/>
      <c r="H6" s="141"/>
      <c r="I6" s="141"/>
      <c r="J6" s="141"/>
      <c r="K6" s="141"/>
      <c r="L6" s="141"/>
    </row>
    <row r="7" spans="1:12" x14ac:dyDescent="0.2">
      <c r="A7" s="141"/>
      <c r="B7" s="141"/>
      <c r="C7" s="141"/>
      <c r="D7" s="141"/>
      <c r="E7" s="141"/>
      <c r="F7" s="141"/>
      <c r="G7" s="141"/>
      <c r="H7" s="141"/>
      <c r="I7" s="141"/>
      <c r="J7" s="141"/>
      <c r="K7" s="141"/>
      <c r="L7" s="141"/>
    </row>
    <row r="8" spans="1:12" x14ac:dyDescent="0.2">
      <c r="A8" s="143" t="s">
        <v>202</v>
      </c>
      <c r="B8" s="141"/>
      <c r="C8" s="143" t="s">
        <v>200</v>
      </c>
      <c r="D8" s="141"/>
      <c r="E8" s="141"/>
      <c r="F8" s="141"/>
      <c r="G8" s="141"/>
      <c r="H8" s="141"/>
      <c r="I8" s="141"/>
      <c r="J8" s="141"/>
      <c r="K8" s="141"/>
      <c r="L8" s="141"/>
    </row>
    <row r="9" spans="1:12" x14ac:dyDescent="0.2">
      <c r="A9" s="144" t="s">
        <v>265</v>
      </c>
      <c r="B9" s="141"/>
      <c r="C9" s="219" t="s">
        <v>267</v>
      </c>
      <c r="D9" s="141"/>
      <c r="E9" s="141"/>
      <c r="F9" s="141"/>
      <c r="G9" s="141"/>
      <c r="H9" s="141"/>
      <c r="I9" s="141"/>
      <c r="J9" s="141"/>
      <c r="K9" s="141"/>
      <c r="L9" s="141"/>
    </row>
    <row r="10" spans="1:12" x14ac:dyDescent="0.2">
      <c r="A10" s="144" t="s">
        <v>249</v>
      </c>
      <c r="B10" s="141"/>
      <c r="C10" s="220"/>
      <c r="D10" s="141"/>
      <c r="E10" s="141"/>
      <c r="F10" s="141"/>
      <c r="G10" s="141"/>
      <c r="H10" s="141"/>
      <c r="I10" s="141"/>
      <c r="J10" s="141"/>
      <c r="K10" s="141"/>
      <c r="L10" s="141"/>
    </row>
    <row r="11" spans="1:12" x14ac:dyDescent="0.2">
      <c r="A11" s="144" t="s">
        <v>294</v>
      </c>
      <c r="B11" s="141"/>
      <c r="C11" s="220"/>
      <c r="D11" s="141"/>
      <c r="E11" s="141"/>
      <c r="F11" s="141"/>
      <c r="G11" s="141"/>
      <c r="H11" s="141"/>
      <c r="I11" s="141"/>
      <c r="J11" s="141"/>
      <c r="K11" s="141"/>
      <c r="L11" s="141"/>
    </row>
    <row r="12" spans="1:12" x14ac:dyDescent="0.2">
      <c r="A12" s="144" t="s">
        <v>231</v>
      </c>
      <c r="B12" s="141"/>
      <c r="C12" s="221" t="s">
        <v>230</v>
      </c>
      <c r="D12" s="141"/>
      <c r="E12" s="141"/>
      <c r="F12" s="141"/>
      <c r="G12" s="141"/>
      <c r="H12" s="141"/>
      <c r="I12" s="141"/>
      <c r="J12" s="141"/>
      <c r="K12" s="141"/>
      <c r="L12" s="141"/>
    </row>
    <row r="13" spans="1:12" x14ac:dyDescent="0.2">
      <c r="A13" s="144" t="s">
        <v>232</v>
      </c>
      <c r="B13" s="141"/>
      <c r="C13" s="221"/>
      <c r="D13" s="141"/>
      <c r="E13" s="141"/>
      <c r="F13" s="141"/>
      <c r="G13" s="141"/>
      <c r="H13" s="141"/>
      <c r="I13" s="141"/>
      <c r="J13" s="141"/>
      <c r="K13" s="141"/>
      <c r="L13" s="141"/>
    </row>
    <row r="14" spans="1:12" x14ac:dyDescent="0.2">
      <c r="A14" s="144" t="s">
        <v>295</v>
      </c>
      <c r="B14" s="141"/>
      <c r="C14" s="144" t="s">
        <v>296</v>
      </c>
      <c r="D14" s="141"/>
      <c r="E14" s="141"/>
      <c r="F14" s="141"/>
      <c r="G14" s="141"/>
      <c r="H14" s="141"/>
      <c r="I14" s="141"/>
      <c r="J14" s="141"/>
      <c r="K14" s="141"/>
      <c r="L14" s="141"/>
    </row>
    <row r="15" spans="1:12" x14ac:dyDescent="0.2">
      <c r="A15" s="141"/>
      <c r="B15" s="141"/>
      <c r="C15" s="141"/>
      <c r="D15" s="141"/>
      <c r="E15" s="141"/>
      <c r="F15" s="141"/>
      <c r="G15" s="141"/>
      <c r="H15" s="141"/>
      <c r="I15" s="141"/>
      <c r="J15" s="141"/>
      <c r="K15" s="141"/>
      <c r="L15" s="141"/>
    </row>
    <row r="16" spans="1:12" x14ac:dyDescent="0.2">
      <c r="A16" s="143" t="s">
        <v>210</v>
      </c>
      <c r="B16" s="141"/>
      <c r="C16" s="143" t="s">
        <v>200</v>
      </c>
      <c r="D16" s="141"/>
      <c r="E16" s="141"/>
      <c r="F16" s="141"/>
      <c r="G16" s="141"/>
      <c r="H16" s="141"/>
      <c r="I16" s="141"/>
      <c r="J16" s="141"/>
      <c r="K16" s="141"/>
      <c r="L16" s="141"/>
    </row>
    <row r="17" spans="1:12" x14ac:dyDescent="0.2">
      <c r="A17" s="144" t="s">
        <v>199</v>
      </c>
      <c r="B17" s="141"/>
      <c r="C17" s="144" t="s">
        <v>169</v>
      </c>
      <c r="D17" s="141"/>
      <c r="E17" s="141"/>
      <c r="F17" s="141"/>
      <c r="G17" s="141"/>
      <c r="H17" s="141"/>
      <c r="I17" s="141"/>
      <c r="J17" s="141"/>
      <c r="K17" s="141"/>
      <c r="L17" s="141"/>
    </row>
    <row r="18" spans="1:12" x14ac:dyDescent="0.2">
      <c r="A18" s="144" t="s">
        <v>238</v>
      </c>
      <c r="B18" s="141"/>
      <c r="C18" s="168" t="s">
        <v>268</v>
      </c>
      <c r="D18" s="141"/>
      <c r="E18" s="141"/>
      <c r="F18" s="141"/>
      <c r="G18" s="141"/>
      <c r="H18" s="141"/>
      <c r="I18" s="141"/>
      <c r="J18" s="141"/>
      <c r="K18" s="141"/>
      <c r="L18" s="141"/>
    </row>
    <row r="19" spans="1:12" x14ac:dyDescent="0.2">
      <c r="A19" s="144" t="s">
        <v>209</v>
      </c>
      <c r="B19" s="141"/>
      <c r="C19" s="144" t="s">
        <v>201</v>
      </c>
      <c r="D19" s="141"/>
      <c r="E19" s="141"/>
      <c r="F19" s="141"/>
      <c r="G19" s="141"/>
      <c r="H19" s="141"/>
      <c r="I19" s="141"/>
      <c r="J19" s="141"/>
      <c r="K19" s="141"/>
      <c r="L19" s="141"/>
    </row>
    <row r="20" spans="1:12" x14ac:dyDescent="0.2">
      <c r="A20" s="141"/>
      <c r="B20" s="141"/>
      <c r="C20" s="141"/>
      <c r="D20" s="141"/>
      <c r="E20" s="141"/>
      <c r="F20" s="141"/>
      <c r="G20" s="141"/>
      <c r="H20" s="141"/>
      <c r="I20" s="141"/>
      <c r="J20" s="141"/>
      <c r="K20" s="141"/>
      <c r="L20" s="141"/>
    </row>
    <row r="21" spans="1:12" x14ac:dyDescent="0.2">
      <c r="A21" s="143" t="s">
        <v>203</v>
      </c>
      <c r="B21" s="141"/>
      <c r="C21" s="143" t="s">
        <v>200</v>
      </c>
      <c r="D21" s="141"/>
      <c r="E21" s="141"/>
      <c r="F21" s="141"/>
      <c r="G21" s="141"/>
      <c r="H21" s="141"/>
      <c r="I21" s="141"/>
      <c r="J21" s="141"/>
      <c r="K21" s="141"/>
      <c r="L21" s="141"/>
    </row>
    <row r="22" spans="1:12" x14ac:dyDescent="0.2">
      <c r="A22" s="144" t="s">
        <v>54</v>
      </c>
      <c r="B22" s="141"/>
      <c r="C22" s="144" t="s">
        <v>204</v>
      </c>
      <c r="D22" s="141"/>
      <c r="E22" s="141"/>
      <c r="F22" s="141"/>
      <c r="G22" s="141"/>
      <c r="H22" s="141"/>
      <c r="I22" s="141"/>
      <c r="J22" s="141"/>
      <c r="K22" s="141"/>
      <c r="L22" s="141"/>
    </row>
    <row r="23" spans="1:12" x14ac:dyDescent="0.2">
      <c r="A23" s="144" t="s">
        <v>205</v>
      </c>
      <c r="B23" s="141"/>
      <c r="C23" s="144" t="s">
        <v>207</v>
      </c>
      <c r="D23" s="141"/>
      <c r="E23" s="141"/>
      <c r="F23" s="141"/>
      <c r="G23" s="141"/>
      <c r="H23" s="141"/>
      <c r="I23" s="141"/>
      <c r="J23" s="141"/>
      <c r="K23" s="141"/>
      <c r="L23" s="141"/>
    </row>
    <row r="24" spans="1:12" x14ac:dyDescent="0.2">
      <c r="A24" s="144" t="s">
        <v>206</v>
      </c>
      <c r="B24" s="141"/>
      <c r="C24" s="144" t="s">
        <v>208</v>
      </c>
      <c r="D24" s="141"/>
      <c r="E24" s="141"/>
      <c r="F24" s="141"/>
      <c r="G24" s="141"/>
      <c r="H24" s="141"/>
      <c r="I24" s="141"/>
      <c r="J24" s="141"/>
      <c r="K24" s="141"/>
      <c r="L24" s="141"/>
    </row>
    <row r="25" spans="1:12" x14ac:dyDescent="0.2">
      <c r="A25" s="144" t="s">
        <v>319</v>
      </c>
      <c r="B25" s="141"/>
      <c r="C25" s="144" t="s">
        <v>1820</v>
      </c>
      <c r="D25" s="141"/>
      <c r="E25" s="141"/>
      <c r="F25" s="141"/>
      <c r="G25" s="141"/>
      <c r="H25" s="141"/>
      <c r="I25" s="141"/>
      <c r="J25" s="141"/>
      <c r="K25" s="141"/>
      <c r="L25" s="141"/>
    </row>
    <row r="26" spans="1:12" x14ac:dyDescent="0.2">
      <c r="A26" s="141"/>
      <c r="B26" s="141"/>
      <c r="C26" s="141"/>
      <c r="D26" s="141"/>
      <c r="E26" s="141"/>
      <c r="F26" s="141"/>
      <c r="G26" s="141"/>
      <c r="H26" s="141"/>
      <c r="I26" s="141"/>
      <c r="J26" s="141"/>
      <c r="K26" s="141"/>
      <c r="L26" s="141"/>
    </row>
    <row r="27" spans="1:12" x14ac:dyDescent="0.2">
      <c r="A27" s="141"/>
      <c r="B27" s="141"/>
      <c r="C27" s="141"/>
      <c r="D27" s="141"/>
      <c r="E27" s="141"/>
      <c r="F27" s="141"/>
      <c r="G27" s="141"/>
      <c r="H27" s="141"/>
      <c r="I27" s="141"/>
      <c r="J27" s="141"/>
      <c r="K27" s="141"/>
      <c r="L27" s="141"/>
    </row>
    <row r="28" spans="1:12" x14ac:dyDescent="0.2">
      <c r="A28" s="141"/>
      <c r="B28" s="141"/>
      <c r="C28" s="141"/>
      <c r="D28" s="141"/>
      <c r="E28" s="141"/>
      <c r="F28" s="141"/>
      <c r="G28" s="141"/>
      <c r="H28" s="141"/>
      <c r="I28" s="141"/>
      <c r="J28" s="141"/>
      <c r="K28" s="141"/>
      <c r="L28" s="141"/>
    </row>
    <row r="29" spans="1:12" x14ac:dyDescent="0.2">
      <c r="A29" s="141"/>
      <c r="B29" s="141"/>
      <c r="C29" s="141"/>
      <c r="D29" s="141"/>
      <c r="E29" s="141"/>
      <c r="F29" s="141"/>
      <c r="G29" s="141"/>
      <c r="H29" s="141"/>
      <c r="I29" s="141"/>
      <c r="J29" s="141"/>
      <c r="K29" s="141"/>
      <c r="L29" s="141"/>
    </row>
    <row r="30" spans="1:12" x14ac:dyDescent="0.2">
      <c r="A30" s="141"/>
      <c r="B30" s="141"/>
      <c r="C30" s="141"/>
      <c r="D30" s="141"/>
      <c r="E30" s="141"/>
      <c r="F30" s="141"/>
      <c r="G30" s="141"/>
      <c r="H30" s="141"/>
      <c r="I30" s="141"/>
      <c r="J30" s="141"/>
      <c r="K30" s="141"/>
      <c r="L30" s="141"/>
    </row>
    <row r="31" spans="1:12" x14ac:dyDescent="0.2">
      <c r="A31" s="141"/>
      <c r="B31" s="141"/>
      <c r="C31" s="141"/>
      <c r="D31" s="141"/>
      <c r="E31" s="141"/>
      <c r="F31" s="141"/>
      <c r="G31" s="141"/>
      <c r="H31" s="141"/>
      <c r="I31" s="141"/>
      <c r="J31" s="141"/>
      <c r="K31" s="141"/>
      <c r="L31" s="141"/>
    </row>
    <row r="32" spans="1:12" x14ac:dyDescent="0.2">
      <c r="A32" s="141"/>
      <c r="B32" s="141"/>
      <c r="C32" s="141"/>
      <c r="D32" s="141"/>
      <c r="E32" s="141"/>
      <c r="F32" s="141"/>
      <c r="G32" s="141"/>
      <c r="H32" s="141"/>
      <c r="I32" s="141"/>
      <c r="J32" s="141"/>
      <c r="K32" s="141"/>
      <c r="L32" s="141"/>
    </row>
    <row r="33" spans="1:12" x14ac:dyDescent="0.2">
      <c r="A33" s="141"/>
      <c r="B33" s="141"/>
      <c r="C33" s="141"/>
      <c r="D33" s="141"/>
      <c r="E33" s="141"/>
      <c r="F33" s="141"/>
      <c r="G33" s="141"/>
      <c r="H33" s="141"/>
      <c r="I33" s="141"/>
      <c r="J33" s="141"/>
      <c r="K33" s="141"/>
      <c r="L33" s="141"/>
    </row>
    <row r="34" spans="1:12" x14ac:dyDescent="0.2">
      <c r="A34" s="141"/>
      <c r="B34" s="141"/>
      <c r="C34" s="141"/>
      <c r="D34" s="141"/>
      <c r="E34" s="141"/>
      <c r="F34" s="141"/>
      <c r="G34" s="141"/>
      <c r="H34" s="141"/>
      <c r="I34" s="141"/>
      <c r="J34" s="141"/>
      <c r="K34" s="141"/>
      <c r="L34" s="141"/>
    </row>
    <row r="35" spans="1:12" x14ac:dyDescent="0.2">
      <c r="A35" s="141"/>
      <c r="B35" s="141"/>
      <c r="C35" s="141"/>
      <c r="D35" s="141"/>
      <c r="E35" s="141"/>
      <c r="F35" s="141"/>
      <c r="G35" s="141"/>
      <c r="H35" s="141"/>
      <c r="I35" s="141"/>
      <c r="J35" s="141"/>
      <c r="K35" s="141"/>
      <c r="L35" s="141"/>
    </row>
    <row r="36" spans="1:12" x14ac:dyDescent="0.2">
      <c r="A36" s="141"/>
      <c r="B36" s="141"/>
      <c r="C36" s="141"/>
      <c r="D36" s="141"/>
      <c r="E36" s="141"/>
      <c r="F36" s="141"/>
      <c r="G36" s="141"/>
      <c r="H36" s="141"/>
      <c r="I36" s="141"/>
      <c r="J36" s="141"/>
      <c r="K36" s="141"/>
      <c r="L36" s="141"/>
    </row>
    <row r="37" spans="1:12" x14ac:dyDescent="0.2">
      <c r="A37" s="141"/>
      <c r="B37" s="141"/>
      <c r="C37" s="141"/>
      <c r="D37" s="141"/>
      <c r="E37" s="141"/>
      <c r="F37" s="141"/>
      <c r="G37" s="141"/>
      <c r="H37" s="141"/>
      <c r="I37" s="141"/>
      <c r="J37" s="141"/>
      <c r="K37" s="141"/>
      <c r="L37" s="141"/>
    </row>
    <row r="38" spans="1:12" x14ac:dyDescent="0.2">
      <c r="A38" s="141"/>
      <c r="B38" s="141"/>
      <c r="C38" s="141"/>
      <c r="D38" s="141"/>
      <c r="E38" s="141"/>
      <c r="F38" s="141"/>
      <c r="G38" s="141"/>
      <c r="H38" s="141"/>
      <c r="I38" s="141"/>
      <c r="J38" s="141"/>
      <c r="K38" s="141"/>
      <c r="L38" s="141"/>
    </row>
    <row r="39" spans="1:12" x14ac:dyDescent="0.2">
      <c r="A39" s="141"/>
      <c r="B39" s="141"/>
      <c r="C39" s="141"/>
      <c r="D39" s="141"/>
      <c r="E39" s="141"/>
      <c r="F39" s="141"/>
      <c r="G39" s="141"/>
      <c r="H39" s="141"/>
      <c r="I39" s="141"/>
      <c r="J39" s="141"/>
      <c r="K39" s="141"/>
      <c r="L39" s="141"/>
    </row>
    <row r="40" spans="1:12" x14ac:dyDescent="0.2">
      <c r="A40" s="141"/>
      <c r="B40" s="141"/>
      <c r="C40" s="141"/>
      <c r="D40" s="141"/>
      <c r="E40" s="141"/>
      <c r="F40" s="141"/>
      <c r="G40" s="141"/>
      <c r="H40" s="141"/>
      <c r="I40" s="141"/>
      <c r="J40" s="141"/>
      <c r="K40" s="141"/>
      <c r="L40" s="141"/>
    </row>
    <row r="41" spans="1:12" x14ac:dyDescent="0.2">
      <c r="A41" s="141"/>
      <c r="B41" s="141"/>
      <c r="C41" s="141"/>
      <c r="D41" s="141"/>
      <c r="E41" s="141"/>
      <c r="F41" s="141"/>
      <c r="G41" s="141"/>
      <c r="H41" s="141"/>
      <c r="I41" s="141"/>
      <c r="J41" s="141"/>
      <c r="K41" s="141"/>
      <c r="L41" s="141"/>
    </row>
    <row r="42" spans="1:12" x14ac:dyDescent="0.2">
      <c r="A42" s="141"/>
      <c r="B42" s="141"/>
      <c r="C42" s="141"/>
      <c r="D42" s="141"/>
      <c r="E42" s="141"/>
      <c r="F42" s="141"/>
      <c r="G42" s="141"/>
      <c r="H42" s="141"/>
      <c r="I42" s="141"/>
      <c r="J42" s="141"/>
      <c r="K42" s="141"/>
      <c r="L42" s="141"/>
    </row>
    <row r="43" spans="1:12" x14ac:dyDescent="0.2">
      <c r="A43" s="141"/>
      <c r="B43" s="141"/>
      <c r="C43" s="141"/>
      <c r="D43" s="141"/>
      <c r="E43" s="141"/>
      <c r="F43" s="141"/>
      <c r="G43" s="141"/>
      <c r="H43" s="141"/>
      <c r="I43" s="141"/>
      <c r="J43" s="141"/>
      <c r="K43" s="141"/>
      <c r="L43" s="141"/>
    </row>
    <row r="44" spans="1:12" x14ac:dyDescent="0.2">
      <c r="A44" s="141"/>
      <c r="B44" s="141"/>
      <c r="C44" s="141"/>
      <c r="D44" s="141"/>
      <c r="E44" s="141"/>
      <c r="F44" s="141"/>
      <c r="G44" s="141"/>
      <c r="H44" s="141"/>
      <c r="I44" s="141"/>
      <c r="J44" s="141"/>
      <c r="K44" s="141"/>
      <c r="L44" s="141"/>
    </row>
    <row r="45" spans="1:12" x14ac:dyDescent="0.2">
      <c r="A45" s="141"/>
      <c r="B45" s="141"/>
      <c r="C45" s="141"/>
      <c r="D45" s="141"/>
      <c r="E45" s="141"/>
      <c r="F45" s="141"/>
      <c r="G45" s="141"/>
      <c r="H45" s="141"/>
      <c r="I45" s="141"/>
      <c r="J45" s="141"/>
      <c r="K45" s="141"/>
      <c r="L45" s="141"/>
    </row>
    <row r="46" spans="1:12" x14ac:dyDescent="0.2">
      <c r="A46" s="141"/>
      <c r="B46" s="141"/>
      <c r="C46" s="141"/>
      <c r="D46" s="141"/>
      <c r="E46" s="141"/>
      <c r="F46" s="141"/>
      <c r="G46" s="141"/>
      <c r="H46" s="141"/>
      <c r="I46" s="141"/>
      <c r="J46" s="141"/>
      <c r="K46" s="141"/>
      <c r="L46" s="141"/>
    </row>
    <row r="47" spans="1:12" x14ac:dyDescent="0.2">
      <c r="A47" s="141"/>
      <c r="B47" s="141"/>
      <c r="C47" s="141"/>
      <c r="D47" s="141"/>
      <c r="E47" s="141"/>
      <c r="F47" s="141"/>
      <c r="G47" s="141"/>
      <c r="H47" s="141"/>
      <c r="I47" s="141"/>
      <c r="J47" s="141"/>
      <c r="K47" s="141"/>
      <c r="L47" s="141"/>
    </row>
    <row r="48" spans="1:12" x14ac:dyDescent="0.2">
      <c r="A48" s="141"/>
      <c r="B48" s="141"/>
      <c r="C48" s="141"/>
      <c r="D48" s="141"/>
      <c r="E48" s="141"/>
      <c r="F48" s="141"/>
      <c r="G48" s="141"/>
      <c r="H48" s="141"/>
      <c r="I48" s="141"/>
      <c r="J48" s="141"/>
      <c r="K48" s="141"/>
      <c r="L48" s="141"/>
    </row>
    <row r="49" spans="1:12" x14ac:dyDescent="0.2">
      <c r="A49" s="141"/>
      <c r="B49" s="141"/>
      <c r="C49" s="141"/>
      <c r="D49" s="141"/>
      <c r="E49" s="141"/>
      <c r="F49" s="141"/>
      <c r="G49" s="141"/>
      <c r="H49" s="141"/>
      <c r="I49" s="141"/>
      <c r="J49" s="141"/>
      <c r="K49" s="141"/>
      <c r="L49" s="141"/>
    </row>
    <row r="50" spans="1:12" x14ac:dyDescent="0.2">
      <c r="A50" s="141"/>
      <c r="B50" s="141"/>
      <c r="C50" s="141"/>
      <c r="D50" s="141"/>
      <c r="E50" s="141"/>
      <c r="F50" s="141"/>
      <c r="G50" s="141"/>
      <c r="H50" s="141"/>
      <c r="I50" s="141"/>
      <c r="J50" s="141"/>
      <c r="K50" s="141"/>
      <c r="L50" s="141"/>
    </row>
    <row r="51" spans="1:12" x14ac:dyDescent="0.2">
      <c r="A51" s="141"/>
      <c r="B51" s="141"/>
      <c r="C51" s="141"/>
      <c r="D51" s="141"/>
      <c r="E51" s="141"/>
      <c r="F51" s="141"/>
      <c r="G51" s="141"/>
      <c r="H51" s="141"/>
      <c r="I51" s="141"/>
      <c r="J51" s="141"/>
      <c r="K51" s="141"/>
      <c r="L51" s="141"/>
    </row>
    <row r="52" spans="1:12" x14ac:dyDescent="0.2">
      <c r="A52" s="141"/>
      <c r="B52" s="141"/>
      <c r="C52" s="141"/>
      <c r="D52" s="141"/>
      <c r="E52" s="141"/>
      <c r="F52" s="141"/>
      <c r="G52" s="141"/>
      <c r="H52" s="141"/>
      <c r="I52" s="141"/>
      <c r="J52" s="141"/>
      <c r="K52" s="141"/>
      <c r="L52" s="141"/>
    </row>
    <row r="53" spans="1:12" x14ac:dyDescent="0.2">
      <c r="A53" s="141"/>
      <c r="B53" s="141"/>
      <c r="C53" s="141"/>
      <c r="D53" s="141"/>
      <c r="E53" s="141"/>
      <c r="F53" s="141"/>
      <c r="G53" s="141"/>
      <c r="H53" s="141"/>
      <c r="I53" s="141"/>
      <c r="J53" s="141"/>
      <c r="K53" s="141"/>
      <c r="L53" s="141"/>
    </row>
    <row r="54" spans="1:12" x14ac:dyDescent="0.2">
      <c r="A54" s="141"/>
      <c r="B54" s="141"/>
      <c r="C54" s="141"/>
      <c r="D54" s="141"/>
      <c r="E54" s="141"/>
      <c r="F54" s="141"/>
      <c r="G54" s="141"/>
      <c r="H54" s="141"/>
      <c r="I54" s="141"/>
      <c r="J54" s="141"/>
      <c r="K54" s="141"/>
      <c r="L54" s="141"/>
    </row>
  </sheetData>
  <mergeCells count="2">
    <mergeCell ref="C9:C11"/>
    <mergeCell ref="C12:C13"/>
  </mergeCells>
  <hyperlinks>
    <hyperlink ref="C17" location="PartD!A1" display="Part D" xr:uid="{5EE0F20B-E34E-5A47-978E-116D076BAEF5}"/>
    <hyperlink ref="C19" location="Pharmacy!A1" display="Pharmacy" xr:uid="{F00425BE-7FEA-224D-91EF-FAD4AC47377D}"/>
    <hyperlink ref="C22" location="BenefitParams!A1" display="BenefitParams" xr:uid="{F6D125FA-FBE5-7546-99BE-5498F805C079}"/>
    <hyperlink ref="C23" location="BackgoundInfo1!A1" display="BackgroundInfo1" xr:uid="{4B9CE743-AD71-FD4C-95BA-D633F97629B3}"/>
    <hyperlink ref="C24" location="BackgroundInfo2!A1" display="BackgroundInfo2" xr:uid="{9B6592F8-E9A4-CB47-9B9E-4690A5F53A24}"/>
    <hyperlink ref="C12" location="Tables34!A1" display="Tables34" xr:uid="{453B3267-6E5D-0F4F-8C8C-B38F246B74DF}"/>
    <hyperlink ref="C9" location="Tables12!A1" display="Tables12" xr:uid="{CF79095B-4FB8-5F4C-B241-9B6ACF32962F}"/>
    <hyperlink ref="A9" location="Tables12!A1" display="Table 1a" xr:uid="{D8EAEE85-3E96-FF43-98BB-5D5E8EFDD921}"/>
    <hyperlink ref="A10" location="Tables12!A16" display="Table 1b" xr:uid="{5032875B-B053-2240-A87F-572D2064A573}"/>
    <hyperlink ref="A11" location="Tables12!L1" display="Table 2" xr:uid="{127F1453-C483-1342-839F-6922000C0BB7}"/>
    <hyperlink ref="A12" location="Tables34!A1" display="Table 3.  Consequences of the PBM Transparency Act's Pharmacy DIR Restrictions" xr:uid="{3AEBB825-1EB5-F042-A235-91EDFF1ED246}"/>
    <hyperlink ref="A13" location="Tables34!A27" display="Table 4.  Consequences of the Part D Pharmacy DIR Rule" xr:uid="{17C59895-4668-4B45-89C5-B078ECC9C75C}"/>
    <hyperlink ref="A17" location="PartD!A1" display="Part D rebate rule" xr:uid="{DF6C8EBE-5BC2-6B49-A731-A40E641D9B72}"/>
    <hyperlink ref="A18" location="InsulinAct!A1" display="Insulin Act rebate regulations" xr:uid="{22B77BDE-7355-C748-84E9-DF2FD2F015CC}"/>
    <hyperlink ref="A19" location="Pharmacy!A1" display="Pharmacy DIR (CMS Rule and PBM Transparency Act)" xr:uid="{5562AEC1-D9B9-D64B-92E9-6409CC06D4DF}"/>
    <hyperlink ref="A22" location="BenefitParams!A1" display="Table A1.  Benefit parameters and retention rates by segment" xr:uid="{2004F94E-9B66-C745-8C7D-DD36246DE628}"/>
    <hyperlink ref="A23" location="BackgroundInfo1!A1" display="General background" xr:uid="{112C4CF4-4AD4-4945-883F-A28DAD3AEED8}"/>
    <hyperlink ref="A24" location="BackgroundInfo2!A1" display="Specialized background" xr:uid="{FFE955E5-F3D8-7148-899A-A117AA8A5B5F}"/>
    <hyperlink ref="C18" location="InsulinAct!A1" display="InsulinAct" xr:uid="{CC07E36F-6936-7F47-B1FD-A306D6F0FAB0}"/>
    <hyperlink ref="A14" location="Table5!A1" display="Table 5.  Competition and the Net Costs of Disclosure Requirements" xr:uid="{8882B35F-5587-AD44-B0C1-D607FC656AEF}"/>
    <hyperlink ref="C14" location="Table5!A1" display="Table5" xr:uid="{F8CCE8E7-AA82-A645-B482-4932CC5B4476}"/>
    <hyperlink ref="A25" location="QuantitativeProse!A1" display="Prose linked to Excel calculations" xr:uid="{39310188-5BB6-474C-A9D4-726D5F94377C}"/>
    <hyperlink ref="C25" location="QuantitativeProse!A1" display="QuantitativeProse" xr:uid="{F03714E1-BF18-AB4F-AA6E-9F4001B0803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A77E4-C9C6-F74B-8665-C321129CFBB4}">
  <dimension ref="A1:D26"/>
  <sheetViews>
    <sheetView workbookViewId="0"/>
  </sheetViews>
  <sheetFormatPr baseColWidth="10" defaultRowHeight="16" x14ac:dyDescent="0.2"/>
  <cols>
    <col min="1" max="1" width="26.83203125" customWidth="1"/>
    <col min="3" max="3" width="24.6640625" customWidth="1"/>
  </cols>
  <sheetData>
    <row r="1" spans="1:4" x14ac:dyDescent="0.2">
      <c r="A1" s="17" t="s">
        <v>194</v>
      </c>
    </row>
    <row r="2" spans="1:4" x14ac:dyDescent="0.2">
      <c r="A2" s="15" t="s">
        <v>40</v>
      </c>
    </row>
    <row r="4" spans="1:4" x14ac:dyDescent="0.2">
      <c r="A4" s="5" t="s">
        <v>97</v>
      </c>
      <c r="B4" s="6" t="s">
        <v>2</v>
      </c>
      <c r="C4" s="5" t="s">
        <v>3</v>
      </c>
      <c r="D4" s="5" t="s">
        <v>44</v>
      </c>
    </row>
    <row r="5" spans="1:4" x14ac:dyDescent="0.2">
      <c r="A5" s="60" t="s">
        <v>109</v>
      </c>
      <c r="C5" s="48"/>
      <c r="D5" s="48"/>
    </row>
    <row r="6" spans="1:4" x14ac:dyDescent="0.2">
      <c r="A6" s="61" t="s">
        <v>91</v>
      </c>
      <c r="B6" s="44">
        <f>(1-AVERAGE(0.155,0.192)/2)^1.5</f>
        <v>0.87273927661881068</v>
      </c>
      <c r="C6" s="48" t="s">
        <v>92</v>
      </c>
      <c r="D6" s="48" t="s">
        <v>62</v>
      </c>
    </row>
    <row r="7" spans="1:4" ht="34" x14ac:dyDescent="0.2">
      <c r="A7" s="62" t="s">
        <v>96</v>
      </c>
      <c r="B7" s="46">
        <f>AVERAGE(0.02,0.1)</f>
        <v>6.0000000000000005E-2</v>
      </c>
      <c r="C7" s="48"/>
      <c r="D7" s="48" t="s">
        <v>104</v>
      </c>
    </row>
    <row r="8" spans="1:4" ht="34" x14ac:dyDescent="0.2">
      <c r="A8" s="62" t="s">
        <v>98</v>
      </c>
      <c r="B8" s="1">
        <f>129/80</f>
        <v>1.6125</v>
      </c>
      <c r="C8" s="48"/>
      <c r="D8" s="48" t="s">
        <v>99</v>
      </c>
    </row>
    <row r="9" spans="1:4" x14ac:dyDescent="0.2">
      <c r="A9" s="61" t="s">
        <v>103</v>
      </c>
      <c r="B9" s="46">
        <v>0.35</v>
      </c>
      <c r="C9" s="48" t="s">
        <v>101</v>
      </c>
      <c r="D9" s="48" t="s">
        <v>105</v>
      </c>
    </row>
    <row r="10" spans="1:4" x14ac:dyDescent="0.2">
      <c r="A10" s="61" t="s">
        <v>111</v>
      </c>
      <c r="B10" s="4">
        <v>0.52</v>
      </c>
      <c r="C10" s="48" t="s">
        <v>92</v>
      </c>
      <c r="D10" s="48" t="s">
        <v>110</v>
      </c>
    </row>
    <row r="11" spans="1:4" x14ac:dyDescent="0.2">
      <c r="A11" s="61" t="s">
        <v>113</v>
      </c>
      <c r="B11" s="1">
        <v>1270.1479999999999</v>
      </c>
      <c r="C11" s="48" t="s">
        <v>115</v>
      </c>
      <c r="D11" s="63" t="s">
        <v>112</v>
      </c>
    </row>
    <row r="12" spans="1:4" x14ac:dyDescent="0.2">
      <c r="A12" s="61" t="s">
        <v>114</v>
      </c>
      <c r="B12" s="1">
        <v>348.411</v>
      </c>
      <c r="C12" s="48" t="s">
        <v>115</v>
      </c>
      <c r="D12" s="63" t="s">
        <v>112</v>
      </c>
    </row>
    <row r="13" spans="1:4" x14ac:dyDescent="0.2">
      <c r="D13" s="19"/>
    </row>
    <row r="14" spans="1:4" x14ac:dyDescent="0.2">
      <c r="A14" s="64" t="s">
        <v>139</v>
      </c>
      <c r="C14" s="68"/>
      <c r="D14" s="69"/>
    </row>
    <row r="15" spans="1:4" ht="34" x14ac:dyDescent="0.2">
      <c r="A15" s="65" t="s">
        <v>140</v>
      </c>
      <c r="B15" s="57">
        <v>0.5</v>
      </c>
      <c r="C15" s="68" t="s">
        <v>101</v>
      </c>
      <c r="D15" s="69" t="s">
        <v>141</v>
      </c>
    </row>
    <row r="16" spans="1:4" x14ac:dyDescent="0.2">
      <c r="A16" s="33" t="s">
        <v>142</v>
      </c>
      <c r="C16" s="68"/>
      <c r="D16" s="69"/>
    </row>
    <row r="17" spans="1:4" ht="17" x14ac:dyDescent="0.2">
      <c r="A17" s="66" t="s">
        <v>144</v>
      </c>
      <c r="B17" s="42">
        <v>11.5</v>
      </c>
      <c r="C17" s="68" t="s">
        <v>146</v>
      </c>
      <c r="D17" s="69" t="s">
        <v>149</v>
      </c>
    </row>
    <row r="18" spans="1:4" ht="17" x14ac:dyDescent="0.2">
      <c r="A18" s="66" t="s">
        <v>143</v>
      </c>
      <c r="B18" s="59">
        <v>4</v>
      </c>
      <c r="C18" s="68" t="s">
        <v>147</v>
      </c>
      <c r="D18" s="69" t="s">
        <v>85</v>
      </c>
    </row>
    <row r="19" spans="1:4" x14ac:dyDescent="0.2">
      <c r="A19" s="67" t="s">
        <v>145</v>
      </c>
      <c r="B19" s="70">
        <f>B17-B18</f>
        <v>7.5</v>
      </c>
      <c r="C19" s="68"/>
      <c r="D19" s="69"/>
    </row>
    <row r="20" spans="1:4" x14ac:dyDescent="0.2">
      <c r="A20" s="71" t="s">
        <v>148</v>
      </c>
      <c r="B20" s="46">
        <v>0.06</v>
      </c>
      <c r="C20" s="68" t="s">
        <v>115</v>
      </c>
      <c r="D20" s="69" t="s">
        <v>85</v>
      </c>
    </row>
    <row r="21" spans="1:4" x14ac:dyDescent="0.2">
      <c r="A21" s="71" t="s">
        <v>154</v>
      </c>
      <c r="B21" s="68"/>
      <c r="C21" s="68"/>
      <c r="D21" s="69"/>
    </row>
    <row r="22" spans="1:4" x14ac:dyDescent="0.2">
      <c r="A22" s="67" t="s">
        <v>143</v>
      </c>
      <c r="B22" s="76">
        <f>1-EXP(-B$20*B$18)</f>
        <v>0.21337213893344653</v>
      </c>
      <c r="C22" s="68"/>
      <c r="D22" s="69"/>
    </row>
    <row r="23" spans="1:4" x14ac:dyDescent="0.2">
      <c r="A23" s="67" t="s">
        <v>145</v>
      </c>
      <c r="B23" s="76">
        <f>1-B22-B24</f>
        <v>0.28505179200049791</v>
      </c>
      <c r="C23" s="68"/>
      <c r="D23" s="69"/>
    </row>
    <row r="24" spans="1:4" x14ac:dyDescent="0.2">
      <c r="A24" s="67" t="s">
        <v>155</v>
      </c>
      <c r="B24" s="76">
        <f>EXP(-B$20*B$17)</f>
        <v>0.50157606906605556</v>
      </c>
    </row>
    <row r="25" spans="1:4" x14ac:dyDescent="0.2">
      <c r="A25" s="71" t="s">
        <v>156</v>
      </c>
      <c r="B25" s="76">
        <v>0.13231299999999999</v>
      </c>
      <c r="D25" s="69" t="s">
        <v>157</v>
      </c>
    </row>
    <row r="26" spans="1:4" x14ac:dyDescent="0.2">
      <c r="A26" s="71" t="s">
        <v>159</v>
      </c>
      <c r="B26" s="77">
        <v>0.41390977443609001</v>
      </c>
      <c r="D26" s="69" t="s">
        <v>160</v>
      </c>
    </row>
  </sheetData>
  <dataValidations count="9">
    <dataValidation type="decimal" operator="greaterThan" allowBlank="1" showInputMessage="1" showErrorMessage="1" errorTitle="rerror" error="Discount rates must be positive." promptTitle="Discountrate" prompt="Revenue discount rate in % per year." sqref="B20" xr:uid="{C58F5520-102F-BB48-8CAE-856E79CAAAC8}">
      <formula1>0</formula1>
    </dataValidation>
    <dataValidation type="decimal" allowBlank="1" showInputMessage="1" showErrorMessage="1" errorTitle="monopolyerror" error="Must be between 0 and the effective patent life." promptTitle="monopoly" prompt="The duration of time after FDA approval that a new drug has no competitors, even from alternative therapies." sqref="B18" xr:uid="{8E698237-629F-574D-A5AD-2D1B72F7D985}">
      <formula1>0</formula1>
      <formula2>B17</formula2>
    </dataValidation>
    <dataValidation type="decimal" allowBlank="1" showInputMessage="1" showErrorMessage="1" errorTitle="patenterror" error="Effective patent life is between 0 and the statutory limit (20)." promptTitle="patentlife" prompt="Effective patent life in years, excluding patent years used for FDA approval." sqref="B17" xr:uid="{95CACAE0-4195-494F-8C99-AE19332A6126}">
      <formula1>0</formula1>
      <formula2>20</formula2>
    </dataValidation>
    <dataValidation type="decimal" operator="greaterThanOrEqual" allowBlank="1" showInputMessage="1" showErrorMessage="1" errorTitle="mdwcerror" error="Cannot assume negative marginal deadweight costs." promptTitle="mdwc" prompt="The deadweight cost of the marginal dollar of government spending." sqref="B15" xr:uid="{72D4B846-F5D5-924B-BCC8-DFDE4E6B9B2B}">
      <formula1>0</formula1>
    </dataValidation>
    <dataValidation type="decimal" operator="greaterThan" allowBlank="1" showInputMessage="1" showErrorMessage="1" errorTitle="Rxspenderror" error="Rx spending is a positive number" promptTitle="Rxspend" prompt="Net Rx spending in $ billion" sqref="B12" xr:uid="{1750F8DA-7696-C145-B6C4-3A16C0AA2958}">
      <formula1>0</formula1>
    </dataValidation>
    <dataValidation type="decimal" operator="greaterThan" allowBlank="1" showInputMessage="1" showErrorMessage="1" errorTitle="hospitalspenderror" error="Hospital spending is a positive number." promptTitle="Hospitalspend" prompt="Hospital spending in $ billion" sqref="B11" xr:uid="{095ADFC9-56EB-2845-8535-55FEA150BC3F}">
      <formula1>0</formula1>
    </dataValidation>
    <dataValidation type="decimal" allowBlank="1" showInputMessage="1" showErrorMessage="1" errorTitle="inpatientsherror" error="Must be between the 0 and 1." promptTitle="Inpartientsh" prompt="Share of hospital revenue that is inpatient" sqref="B10" xr:uid="{3E728DBF-30E6-C444-A865-BDA8CEE45C7B}">
      <formula1>0</formula1>
      <formula2>1</formula2>
    </dataValidation>
    <dataValidation type="decimal" operator="greaterThanOrEqual" allowBlank="1" showInputMessage="1" showErrorMessage="1" errorTitle="PartDimpacterror" error="The introduction of Part D must have increased Rx utilization by a nonnegative number." promptTitle="PartDqimpact" prompt="Impact of Medicare Part D on Rx utilization." sqref="B9" xr:uid="{7936BB0B-C07A-0949-9497-85979962F934}">
      <formula1>0</formula1>
    </dataValidation>
    <dataValidation type="decimal" allowBlank="1" showInputMessage="1" showErrorMessage="1" errorTitle="retentionerror" error="Must be between the 0 and 1." promptTitle="PlanRetention" prompt="Share of health plan members who are still members the next year." sqref="B6" xr:uid="{3411689F-9E1D-4C44-AE74-641DF232FF0C}">
      <formula1>0</formula1>
      <formula2>1</formula2>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22047-EF37-C645-89D4-34270C3A36B3}">
  <dimension ref="A1:O756"/>
  <sheetViews>
    <sheetView workbookViewId="0">
      <pane ySplit="4" topLeftCell="A5" activePane="bottomLeft" state="frozen"/>
      <selection pane="bottomLeft" activeCell="A5" sqref="A5"/>
    </sheetView>
  </sheetViews>
  <sheetFormatPr baseColWidth="10" defaultColWidth="8.83203125" defaultRowHeight="14" x14ac:dyDescent="0.15"/>
  <cols>
    <col min="1" max="2" width="8.83203125" style="179"/>
    <col min="3" max="3" width="50.83203125" style="179" customWidth="1"/>
    <col min="4" max="4" width="9.83203125" style="179" customWidth="1"/>
    <col min="5" max="5" width="8.83203125" style="179"/>
    <col min="6" max="6" width="10.83203125" style="179" customWidth="1"/>
    <col min="7" max="7" width="50.83203125" style="179" customWidth="1"/>
    <col min="8" max="8" width="8.83203125" style="179"/>
    <col min="9" max="10" width="20.83203125" style="179" customWidth="1"/>
    <col min="11" max="16384" width="8.83203125" style="179"/>
  </cols>
  <sheetData>
    <row r="1" spans="1:15" ht="16" x14ac:dyDescent="0.2">
      <c r="A1" s="180" t="s">
        <v>1923</v>
      </c>
    </row>
    <row r="2" spans="1:15" ht="16" x14ac:dyDescent="0.2">
      <c r="A2" s="180" t="s">
        <v>1924</v>
      </c>
    </row>
    <row r="4" spans="1:15" ht="17" x14ac:dyDescent="0.2">
      <c r="A4" s="176" t="s">
        <v>320</v>
      </c>
      <c r="B4" s="177" t="s">
        <v>321</v>
      </c>
      <c r="C4" s="176" t="s">
        <v>322</v>
      </c>
      <c r="D4" s="176" t="s">
        <v>323</v>
      </c>
      <c r="E4" s="176" t="s">
        <v>324</v>
      </c>
      <c r="F4" s="178" t="s">
        <v>325</v>
      </c>
      <c r="G4" s="176" t="s">
        <v>326</v>
      </c>
      <c r="H4" s="176" t="s">
        <v>327</v>
      </c>
      <c r="I4" s="176" t="s">
        <v>328</v>
      </c>
      <c r="J4" s="176" t="s">
        <v>44</v>
      </c>
    </row>
    <row r="5" spans="1:15" ht="16" x14ac:dyDescent="0.2">
      <c r="A5" s="180" t="s">
        <v>333</v>
      </c>
      <c r="B5" s="180">
        <v>2</v>
      </c>
      <c r="C5" s="180" t="s">
        <v>334</v>
      </c>
      <c r="D5" s="180" t="s">
        <v>335</v>
      </c>
      <c r="E5" s="180">
        <v>52</v>
      </c>
      <c r="F5" s="183">
        <f>MAX(Tables12!C7,Tables12!F7,Tables12!I7)</f>
        <v>0.51628165583984398</v>
      </c>
      <c r="G5" s="180" t="s">
        <v>336</v>
      </c>
      <c r="H5" s="180" t="s">
        <v>376</v>
      </c>
      <c r="I5" s="180"/>
      <c r="J5" s="180"/>
      <c r="K5" s="180"/>
      <c r="L5" s="180"/>
      <c r="M5" s="180"/>
      <c r="N5" s="180"/>
      <c r="O5" s="180"/>
    </row>
    <row r="6" spans="1:15" ht="16" x14ac:dyDescent="0.2">
      <c r="A6" s="180" t="s">
        <v>333</v>
      </c>
      <c r="B6" s="180">
        <v>3</v>
      </c>
      <c r="C6" s="180" t="s">
        <v>337</v>
      </c>
      <c r="D6" s="180" t="s">
        <v>338</v>
      </c>
      <c r="E6" s="180">
        <v>31</v>
      </c>
      <c r="F6" s="183">
        <f>MAX(Tables12!N14,Tables12!Q14,Tables12!T14)</f>
        <v>0.30970678819475844</v>
      </c>
      <c r="G6" s="180" t="s">
        <v>339</v>
      </c>
      <c r="H6" s="180" t="s">
        <v>376</v>
      </c>
      <c r="I6" s="180"/>
      <c r="J6" s="180"/>
      <c r="K6" s="180"/>
      <c r="L6" s="180"/>
      <c r="M6" s="180"/>
      <c r="N6" s="180"/>
      <c r="O6" s="180"/>
    </row>
    <row r="7" spans="1:15" ht="16" x14ac:dyDescent="0.2">
      <c r="A7" s="180" t="s">
        <v>333</v>
      </c>
      <c r="B7" s="180">
        <v>4</v>
      </c>
      <c r="C7" s="180" t="s">
        <v>340</v>
      </c>
      <c r="D7" s="181" t="s">
        <v>814</v>
      </c>
      <c r="E7" s="180">
        <v>8</v>
      </c>
      <c r="F7" s="195">
        <f>MIN(Tables12!D6,Tables12!G6,Tables12!J6)</f>
        <v>-8.2666780977018961E-2</v>
      </c>
      <c r="G7" s="180" t="s">
        <v>1881</v>
      </c>
      <c r="H7" s="180" t="s">
        <v>376</v>
      </c>
      <c r="I7" s="180"/>
      <c r="J7" s="180"/>
      <c r="K7" s="180"/>
      <c r="L7" s="180"/>
      <c r="M7" s="180"/>
      <c r="N7" s="180"/>
      <c r="O7" s="180"/>
    </row>
    <row r="8" spans="1:15" ht="16" x14ac:dyDescent="0.2">
      <c r="A8" s="180" t="s">
        <v>333</v>
      </c>
      <c r="B8" s="180">
        <v>5</v>
      </c>
      <c r="C8" s="180" t="s">
        <v>1882</v>
      </c>
      <c r="D8" s="181" t="s">
        <v>378</v>
      </c>
      <c r="E8" s="180">
        <v>1</v>
      </c>
      <c r="F8" s="195">
        <f>MIN(Tables12!C6,Tables12!F6,Tables12!I6)</f>
        <v>-1.3126791531620885E-2</v>
      </c>
      <c r="G8" s="180" t="s">
        <v>343</v>
      </c>
      <c r="H8" s="180" t="s">
        <v>376</v>
      </c>
      <c r="I8" s="180"/>
      <c r="J8" s="180"/>
      <c r="K8" s="180"/>
      <c r="L8" s="180"/>
      <c r="M8" s="180"/>
      <c r="N8" s="180"/>
      <c r="O8" s="180"/>
    </row>
    <row r="9" spans="1:15" ht="16" x14ac:dyDescent="0.2">
      <c r="A9" s="180" t="s">
        <v>333</v>
      </c>
      <c r="B9" s="180">
        <v>8</v>
      </c>
      <c r="C9" s="180" t="s">
        <v>345</v>
      </c>
      <c r="D9" s="181" t="s">
        <v>541</v>
      </c>
      <c r="E9" s="180">
        <v>6</v>
      </c>
      <c r="F9" s="184">
        <f>SUM(Tables34!$G$14:$G$18)/(-Tables34!$G$13)</f>
        <v>6.8234366645664943</v>
      </c>
      <c r="G9" s="180" t="s">
        <v>346</v>
      </c>
      <c r="H9" s="180" t="s">
        <v>376</v>
      </c>
      <c r="I9" s="181" t="s">
        <v>1823</v>
      </c>
      <c r="J9" s="180"/>
      <c r="K9" s="180"/>
      <c r="L9" s="180"/>
      <c r="M9" s="180"/>
      <c r="N9" s="180"/>
      <c r="O9" s="180"/>
    </row>
    <row r="10" spans="1:15" ht="16" x14ac:dyDescent="0.2">
      <c r="A10" s="180" t="s">
        <v>333</v>
      </c>
      <c r="B10" s="180">
        <v>10</v>
      </c>
      <c r="C10" s="180" t="s">
        <v>348</v>
      </c>
      <c r="D10" s="180" t="s">
        <v>349</v>
      </c>
      <c r="E10" s="180">
        <v>2020</v>
      </c>
      <c r="F10" s="180"/>
      <c r="G10" s="180" t="s">
        <v>350</v>
      </c>
      <c r="H10" s="180" t="s">
        <v>376</v>
      </c>
      <c r="I10" s="180"/>
      <c r="J10" s="181" t="s">
        <v>1824</v>
      </c>
      <c r="K10" s="180"/>
      <c r="L10" s="180"/>
      <c r="M10" s="180"/>
      <c r="N10" s="180"/>
      <c r="O10" s="180"/>
    </row>
    <row r="11" spans="1:15" ht="16" x14ac:dyDescent="0.2">
      <c r="A11" s="180" t="s">
        <v>333</v>
      </c>
      <c r="B11" s="180">
        <v>11</v>
      </c>
      <c r="C11" s="180" t="s">
        <v>351</v>
      </c>
      <c r="D11" s="180" t="s">
        <v>352</v>
      </c>
      <c r="E11" s="180">
        <v>2022</v>
      </c>
      <c r="F11" s="180"/>
      <c r="G11" s="180" t="s">
        <v>353</v>
      </c>
      <c r="H11" s="180" t="s">
        <v>376</v>
      </c>
      <c r="I11" s="180"/>
      <c r="J11" s="181" t="s">
        <v>1825</v>
      </c>
      <c r="K11" s="180"/>
      <c r="L11" s="180"/>
      <c r="M11" s="180"/>
      <c r="N11" s="180"/>
      <c r="O11" s="180"/>
    </row>
    <row r="12" spans="1:15" ht="16" x14ac:dyDescent="0.2">
      <c r="A12" s="180" t="s">
        <v>333</v>
      </c>
      <c r="B12" s="180">
        <v>13</v>
      </c>
      <c r="C12" s="180" t="s">
        <v>357</v>
      </c>
      <c r="D12" s="180" t="s">
        <v>358</v>
      </c>
      <c r="E12" s="180">
        <v>10</v>
      </c>
      <c r="F12" s="185">
        <f>Table5!B10</f>
        <v>26.909730908428095</v>
      </c>
      <c r="G12" s="180" t="s">
        <v>359</v>
      </c>
      <c r="H12" s="180" t="s">
        <v>376</v>
      </c>
      <c r="I12" s="181" t="s">
        <v>1826</v>
      </c>
      <c r="J12" s="180"/>
      <c r="K12" s="180"/>
      <c r="L12" s="180"/>
      <c r="M12" s="180"/>
      <c r="N12" s="180"/>
      <c r="O12" s="180"/>
    </row>
    <row r="13" spans="1:15" ht="16" x14ac:dyDescent="0.2">
      <c r="A13" s="180" t="s">
        <v>333</v>
      </c>
      <c r="B13" s="180">
        <v>14</v>
      </c>
      <c r="C13" s="180" t="s">
        <v>360</v>
      </c>
      <c r="D13" s="180" t="s">
        <v>352</v>
      </c>
      <c r="E13" s="180">
        <v>2022</v>
      </c>
      <c r="F13" s="180"/>
      <c r="G13" s="180" t="s">
        <v>361</v>
      </c>
      <c r="H13" s="180" t="s">
        <v>376</v>
      </c>
      <c r="I13" s="180"/>
      <c r="J13" s="180"/>
      <c r="K13" s="180"/>
      <c r="L13" s="180"/>
      <c r="M13" s="180"/>
      <c r="N13" s="180"/>
      <c r="O13" s="180"/>
    </row>
    <row r="14" spans="1:15" ht="16" x14ac:dyDescent="0.2">
      <c r="A14" s="180" t="s">
        <v>365</v>
      </c>
      <c r="B14" s="180">
        <v>17</v>
      </c>
      <c r="C14" s="180"/>
      <c r="D14" s="180" t="s">
        <v>347</v>
      </c>
      <c r="E14" s="180">
        <v>2</v>
      </c>
      <c r="F14" s="180"/>
      <c r="G14" s="180" t="s">
        <v>366</v>
      </c>
      <c r="H14" s="180" t="s">
        <v>376</v>
      </c>
      <c r="I14" s="180"/>
      <c r="J14" s="180"/>
      <c r="K14" s="180"/>
      <c r="L14" s="180"/>
      <c r="M14" s="180"/>
      <c r="N14" s="180"/>
      <c r="O14" s="180"/>
    </row>
    <row r="15" spans="1:15" ht="16" x14ac:dyDescent="0.2">
      <c r="A15" s="180" t="s">
        <v>333</v>
      </c>
      <c r="B15" s="180">
        <v>18</v>
      </c>
      <c r="C15" s="180" t="s">
        <v>367</v>
      </c>
      <c r="D15" s="180" t="s">
        <v>368</v>
      </c>
      <c r="E15" s="180">
        <v>2019</v>
      </c>
      <c r="F15" s="180"/>
      <c r="G15" s="180"/>
      <c r="H15" s="180" t="s">
        <v>376</v>
      </c>
      <c r="I15" s="180"/>
      <c r="J15" s="181" t="s">
        <v>1829</v>
      </c>
      <c r="K15" s="180"/>
      <c r="L15" s="180"/>
      <c r="M15" s="180"/>
      <c r="N15" s="180"/>
      <c r="O15" s="180"/>
    </row>
    <row r="16" spans="1:15" ht="16" x14ac:dyDescent="0.2">
      <c r="A16" s="180" t="s">
        <v>333</v>
      </c>
      <c r="B16" s="180">
        <v>20</v>
      </c>
      <c r="C16" s="180" t="s">
        <v>372</v>
      </c>
      <c r="D16" s="180" t="s">
        <v>362</v>
      </c>
      <c r="E16" s="180">
        <v>0</v>
      </c>
      <c r="F16" s="180"/>
      <c r="G16" s="180" t="s">
        <v>363</v>
      </c>
      <c r="H16" s="180" t="s">
        <v>376</v>
      </c>
      <c r="I16" s="180" t="s">
        <v>85</v>
      </c>
      <c r="J16" s="180"/>
      <c r="K16" s="180"/>
      <c r="L16" s="180"/>
      <c r="M16" s="180"/>
      <c r="N16" s="180"/>
      <c r="O16" s="180"/>
    </row>
    <row r="17" spans="1:15" ht="16" x14ac:dyDescent="0.2">
      <c r="A17" s="180" t="s">
        <v>373</v>
      </c>
      <c r="B17" s="180">
        <v>21</v>
      </c>
      <c r="C17" s="180" t="s">
        <v>374</v>
      </c>
      <c r="D17" s="180" t="s">
        <v>375</v>
      </c>
      <c r="E17" s="180">
        <v>1</v>
      </c>
      <c r="F17" s="180"/>
      <c r="G17" s="180"/>
      <c r="H17" s="180" t="s">
        <v>376</v>
      </c>
      <c r="I17" s="180"/>
      <c r="J17" s="180"/>
      <c r="K17" s="180"/>
      <c r="L17" s="180"/>
      <c r="M17" s="180"/>
      <c r="N17" s="180"/>
      <c r="O17" s="180"/>
    </row>
    <row r="18" spans="1:15" ht="16" x14ac:dyDescent="0.2">
      <c r="A18" s="180" t="s">
        <v>373</v>
      </c>
      <c r="B18" s="180">
        <v>22</v>
      </c>
      <c r="C18" s="180" t="s">
        <v>377</v>
      </c>
      <c r="D18" s="180" t="s">
        <v>378</v>
      </c>
      <c r="E18" s="180">
        <v>1</v>
      </c>
      <c r="F18" s="180"/>
      <c r="G18" s="180" t="s">
        <v>379</v>
      </c>
      <c r="H18" s="180" t="s">
        <v>376</v>
      </c>
      <c r="I18" s="180"/>
      <c r="J18" s="180"/>
      <c r="K18" s="180"/>
      <c r="L18" s="180"/>
      <c r="M18" s="180"/>
      <c r="N18" s="180"/>
      <c r="O18" s="180"/>
    </row>
    <row r="19" spans="1:15" ht="16" x14ac:dyDescent="0.2">
      <c r="A19" s="180" t="s">
        <v>373</v>
      </c>
      <c r="B19" s="180">
        <v>23</v>
      </c>
      <c r="C19" s="180" t="s">
        <v>380</v>
      </c>
      <c r="D19" s="180" t="s">
        <v>378</v>
      </c>
      <c r="E19" s="180">
        <v>1</v>
      </c>
      <c r="F19" s="180"/>
      <c r="G19" s="180" t="s">
        <v>381</v>
      </c>
      <c r="H19" s="180" t="s">
        <v>376</v>
      </c>
      <c r="I19" s="180"/>
      <c r="J19" s="180"/>
      <c r="K19" s="180"/>
      <c r="L19" s="180"/>
      <c r="M19" s="180"/>
      <c r="N19" s="180"/>
      <c r="O19" s="180"/>
    </row>
    <row r="20" spans="1:15" ht="16" x14ac:dyDescent="0.2">
      <c r="A20" s="180" t="s">
        <v>373</v>
      </c>
      <c r="B20" s="180">
        <v>24</v>
      </c>
      <c r="C20" s="180" t="s">
        <v>382</v>
      </c>
      <c r="D20" s="180" t="s">
        <v>378</v>
      </c>
      <c r="E20" s="180">
        <v>1</v>
      </c>
      <c r="F20" s="180"/>
      <c r="G20" s="180" t="s">
        <v>383</v>
      </c>
      <c r="H20" s="180" t="s">
        <v>376</v>
      </c>
      <c r="I20" s="180"/>
      <c r="J20" s="180"/>
      <c r="K20" s="180"/>
      <c r="L20" s="180"/>
      <c r="M20" s="180"/>
      <c r="N20" s="180"/>
      <c r="O20" s="180"/>
    </row>
    <row r="21" spans="1:15" ht="16" x14ac:dyDescent="0.2">
      <c r="A21" s="180" t="s">
        <v>333</v>
      </c>
      <c r="B21" s="180">
        <v>25</v>
      </c>
      <c r="C21" s="180" t="s">
        <v>384</v>
      </c>
      <c r="D21" s="180" t="s">
        <v>352</v>
      </c>
      <c r="E21" s="180">
        <v>2022</v>
      </c>
      <c r="F21" s="180"/>
      <c r="G21" s="180" t="s">
        <v>385</v>
      </c>
      <c r="H21" s="180" t="s">
        <v>376</v>
      </c>
      <c r="I21" s="180"/>
      <c r="J21" s="180"/>
      <c r="K21" s="180"/>
      <c r="L21" s="180"/>
      <c r="M21" s="180"/>
      <c r="N21" s="180"/>
      <c r="O21" s="180"/>
    </row>
    <row r="22" spans="1:15" ht="16" x14ac:dyDescent="0.2">
      <c r="A22" s="180" t="s">
        <v>373</v>
      </c>
      <c r="B22" s="180">
        <v>26</v>
      </c>
      <c r="C22" s="180" t="s">
        <v>386</v>
      </c>
      <c r="D22" s="180" t="s">
        <v>378</v>
      </c>
      <c r="E22" s="180">
        <v>1</v>
      </c>
      <c r="F22" s="180"/>
      <c r="G22" s="180" t="s">
        <v>387</v>
      </c>
      <c r="H22" s="180" t="s">
        <v>376</v>
      </c>
      <c r="I22" s="180"/>
      <c r="J22" s="180"/>
      <c r="K22" s="180"/>
      <c r="L22" s="180"/>
      <c r="M22" s="180"/>
      <c r="N22" s="180"/>
      <c r="O22" s="180"/>
    </row>
    <row r="23" spans="1:15" ht="16" x14ac:dyDescent="0.2">
      <c r="A23" s="180" t="s">
        <v>333</v>
      </c>
      <c r="B23" s="180">
        <v>27</v>
      </c>
      <c r="C23" s="180" t="s">
        <v>388</v>
      </c>
      <c r="D23" s="180" t="s">
        <v>352</v>
      </c>
      <c r="E23" s="180">
        <v>2022</v>
      </c>
      <c r="F23" s="180"/>
      <c r="G23" s="180" t="s">
        <v>389</v>
      </c>
      <c r="H23" s="180" t="s">
        <v>376</v>
      </c>
      <c r="I23" s="180"/>
      <c r="J23" s="180"/>
      <c r="K23" s="180"/>
      <c r="L23" s="180"/>
      <c r="M23" s="180"/>
      <c r="N23" s="180"/>
      <c r="O23" s="180"/>
    </row>
    <row r="24" spans="1:15" ht="16" x14ac:dyDescent="0.2">
      <c r="A24" s="180" t="s">
        <v>373</v>
      </c>
      <c r="B24" s="180">
        <v>28</v>
      </c>
      <c r="C24" s="180" t="s">
        <v>390</v>
      </c>
      <c r="D24" s="180" t="s">
        <v>378</v>
      </c>
      <c r="E24" s="180">
        <v>1</v>
      </c>
      <c r="F24" s="180"/>
      <c r="G24" s="180" t="s">
        <v>391</v>
      </c>
      <c r="H24" s="180" t="s">
        <v>376</v>
      </c>
      <c r="I24" s="180"/>
      <c r="J24" s="180"/>
      <c r="K24" s="180"/>
      <c r="L24" s="180"/>
      <c r="M24" s="180"/>
      <c r="N24" s="180"/>
      <c r="O24" s="180"/>
    </row>
    <row r="25" spans="1:15" ht="16" x14ac:dyDescent="0.2">
      <c r="A25" s="180" t="s">
        <v>333</v>
      </c>
      <c r="B25" s="180">
        <v>29</v>
      </c>
      <c r="C25" s="180" t="s">
        <v>392</v>
      </c>
      <c r="D25" s="180" t="s">
        <v>393</v>
      </c>
      <c r="E25" s="180">
        <v>3</v>
      </c>
      <c r="F25" s="180"/>
      <c r="G25" s="180" t="s">
        <v>394</v>
      </c>
      <c r="H25" s="180" t="s">
        <v>376</v>
      </c>
      <c r="I25" s="180" t="s">
        <v>1827</v>
      </c>
      <c r="J25" s="180"/>
      <c r="K25" s="180"/>
      <c r="L25" s="180"/>
      <c r="M25" s="180"/>
      <c r="N25" s="180"/>
      <c r="O25" s="180"/>
    </row>
    <row r="26" spans="1:15" ht="16" x14ac:dyDescent="0.2">
      <c r="A26" s="180" t="s">
        <v>333</v>
      </c>
      <c r="B26" s="180">
        <v>30</v>
      </c>
      <c r="C26" s="180" t="s">
        <v>395</v>
      </c>
      <c r="D26" s="180" t="s">
        <v>396</v>
      </c>
      <c r="E26" s="180">
        <v>15</v>
      </c>
      <c r="F26" s="180"/>
      <c r="G26" s="180" t="s">
        <v>397</v>
      </c>
      <c r="H26" s="180" t="s">
        <v>376</v>
      </c>
      <c r="I26" s="180"/>
      <c r="J26" s="181" t="s">
        <v>1828</v>
      </c>
      <c r="K26" s="180"/>
      <c r="L26" s="180"/>
      <c r="M26" s="180"/>
      <c r="N26" s="180"/>
      <c r="O26" s="180"/>
    </row>
    <row r="27" spans="1:15" ht="16" x14ac:dyDescent="0.2">
      <c r="A27" s="180" t="s">
        <v>333</v>
      </c>
      <c r="B27" s="180">
        <v>31</v>
      </c>
      <c r="C27" s="180" t="s">
        <v>398</v>
      </c>
      <c r="D27" s="180" t="s">
        <v>399</v>
      </c>
      <c r="E27" s="180">
        <v>85</v>
      </c>
      <c r="F27" s="180">
        <f>100-E26</f>
        <v>85</v>
      </c>
      <c r="G27" s="180" t="s">
        <v>400</v>
      </c>
      <c r="H27" s="180" t="s">
        <v>376</v>
      </c>
      <c r="I27" s="180"/>
      <c r="J27" s="180"/>
      <c r="K27" s="180"/>
      <c r="L27" s="180"/>
      <c r="M27" s="180"/>
      <c r="N27" s="180"/>
      <c r="O27" s="180"/>
    </row>
    <row r="28" spans="1:15" ht="16" x14ac:dyDescent="0.2">
      <c r="A28" s="180" t="s">
        <v>329</v>
      </c>
      <c r="B28" s="180">
        <v>31</v>
      </c>
      <c r="C28" s="180" t="s">
        <v>1042</v>
      </c>
      <c r="D28" s="180" t="s">
        <v>342</v>
      </c>
      <c r="E28" s="180">
        <v>2</v>
      </c>
      <c r="F28" s="180"/>
      <c r="G28" s="180" t="s">
        <v>1043</v>
      </c>
      <c r="H28" s="180" t="s">
        <v>376</v>
      </c>
      <c r="I28" s="180"/>
      <c r="J28" s="180"/>
      <c r="K28" s="180"/>
      <c r="L28" s="180"/>
      <c r="M28" s="180"/>
      <c r="N28" s="180"/>
      <c r="O28" s="180"/>
    </row>
    <row r="29" spans="1:15" ht="16" x14ac:dyDescent="0.2">
      <c r="A29" s="180" t="s">
        <v>373</v>
      </c>
      <c r="B29" s="180">
        <v>32</v>
      </c>
      <c r="C29" s="180" t="s">
        <v>401</v>
      </c>
      <c r="D29" s="180" t="s">
        <v>378</v>
      </c>
      <c r="E29" s="180">
        <v>1</v>
      </c>
      <c r="F29" s="180"/>
      <c r="G29" s="180" t="s">
        <v>402</v>
      </c>
      <c r="H29" s="180" t="s">
        <v>376</v>
      </c>
      <c r="I29" s="180"/>
      <c r="J29" s="180"/>
      <c r="K29" s="180"/>
      <c r="L29" s="180"/>
      <c r="M29" s="180"/>
      <c r="N29" s="180"/>
      <c r="O29" s="180"/>
    </row>
    <row r="30" spans="1:15" ht="16" x14ac:dyDescent="0.2">
      <c r="A30" s="180" t="s">
        <v>333</v>
      </c>
      <c r="B30" s="180">
        <v>38</v>
      </c>
      <c r="C30" s="180" t="s">
        <v>403</v>
      </c>
      <c r="D30" s="180" t="s">
        <v>404</v>
      </c>
      <c r="E30" s="180">
        <v>30</v>
      </c>
      <c r="F30" s="180"/>
      <c r="G30" s="180" t="s">
        <v>405</v>
      </c>
      <c r="H30" s="180" t="s">
        <v>376</v>
      </c>
      <c r="I30" s="180" t="s">
        <v>1830</v>
      </c>
      <c r="J30" s="180"/>
      <c r="K30" s="180"/>
      <c r="L30" s="180"/>
      <c r="M30" s="180"/>
      <c r="N30" s="180"/>
      <c r="O30" s="180"/>
    </row>
    <row r="31" spans="1:15" ht="16" x14ac:dyDescent="0.2">
      <c r="A31" s="180" t="s">
        <v>333</v>
      </c>
      <c r="B31" s="180">
        <v>39</v>
      </c>
      <c r="C31" s="180" t="s">
        <v>406</v>
      </c>
      <c r="D31" s="180" t="s">
        <v>407</v>
      </c>
      <c r="E31" s="180">
        <v>10</v>
      </c>
      <c r="F31" s="180"/>
      <c r="G31" s="180" t="s">
        <v>408</v>
      </c>
      <c r="H31" s="180" t="s">
        <v>376</v>
      </c>
      <c r="I31" s="180" t="s">
        <v>1830</v>
      </c>
      <c r="J31" s="180"/>
      <c r="K31" s="180"/>
      <c r="L31" s="180"/>
      <c r="M31" s="180"/>
      <c r="N31" s="180"/>
      <c r="O31" s="180"/>
    </row>
    <row r="32" spans="1:15" ht="16" x14ac:dyDescent="0.2">
      <c r="A32" s="180" t="s">
        <v>333</v>
      </c>
      <c r="B32" s="180">
        <v>41</v>
      </c>
      <c r="C32" s="180" t="s">
        <v>409</v>
      </c>
      <c r="D32" s="180" t="s">
        <v>393</v>
      </c>
      <c r="E32" s="180">
        <v>3</v>
      </c>
      <c r="F32" s="180">
        <f>E30/E31</f>
        <v>3</v>
      </c>
      <c r="G32" s="180" t="s">
        <v>410</v>
      </c>
      <c r="H32" s="180" t="s">
        <v>376</v>
      </c>
      <c r="I32" s="180"/>
      <c r="J32" s="180"/>
      <c r="K32" s="180"/>
      <c r="L32" s="180"/>
      <c r="M32" s="180"/>
      <c r="N32" s="180"/>
      <c r="O32" s="180"/>
    </row>
    <row r="33" spans="1:15" ht="16" x14ac:dyDescent="0.2">
      <c r="A33" s="180" t="s">
        <v>333</v>
      </c>
      <c r="B33" s="180">
        <v>42</v>
      </c>
      <c r="C33" s="180" t="s">
        <v>411</v>
      </c>
      <c r="D33" s="180" t="s">
        <v>404</v>
      </c>
      <c r="E33" s="180">
        <v>30</v>
      </c>
      <c r="F33" s="180">
        <f>E30</f>
        <v>30</v>
      </c>
      <c r="G33" s="180" t="s">
        <v>412</v>
      </c>
      <c r="H33" s="180" t="s">
        <v>376</v>
      </c>
      <c r="I33" s="180"/>
      <c r="J33" s="180"/>
      <c r="K33" s="180"/>
      <c r="L33" s="180"/>
      <c r="M33" s="180"/>
      <c r="N33" s="180"/>
      <c r="O33" s="180"/>
    </row>
    <row r="34" spans="1:15" ht="16" x14ac:dyDescent="0.2">
      <c r="A34" s="180" t="s">
        <v>333</v>
      </c>
      <c r="B34" s="180">
        <v>43</v>
      </c>
      <c r="C34" s="180" t="s">
        <v>413</v>
      </c>
      <c r="D34" s="180" t="s">
        <v>407</v>
      </c>
      <c r="E34" s="180">
        <v>10</v>
      </c>
      <c r="F34" s="180">
        <f>E31</f>
        <v>10</v>
      </c>
      <c r="G34" s="180" t="s">
        <v>389</v>
      </c>
      <c r="H34" s="180" t="s">
        <v>376</v>
      </c>
      <c r="I34" s="180"/>
      <c r="J34" s="180"/>
      <c r="K34" s="180"/>
      <c r="L34" s="180"/>
      <c r="M34" s="180"/>
      <c r="N34" s="180"/>
      <c r="O34" s="180"/>
    </row>
    <row r="35" spans="1:15" ht="16" x14ac:dyDescent="0.2">
      <c r="A35" s="180" t="s">
        <v>373</v>
      </c>
      <c r="B35" s="180">
        <v>44</v>
      </c>
      <c r="C35" s="180" t="s">
        <v>401</v>
      </c>
      <c r="D35" s="180" t="s">
        <v>378</v>
      </c>
      <c r="E35" s="180">
        <v>1</v>
      </c>
      <c r="F35" s="180"/>
      <c r="G35" s="180" t="s">
        <v>414</v>
      </c>
      <c r="H35" s="180" t="s">
        <v>376</v>
      </c>
      <c r="I35" s="180"/>
      <c r="J35" s="180"/>
      <c r="K35" s="180"/>
      <c r="L35" s="180"/>
      <c r="M35" s="180"/>
      <c r="N35" s="180"/>
      <c r="O35" s="180"/>
    </row>
    <row r="36" spans="1:15" ht="16" x14ac:dyDescent="0.2">
      <c r="A36" s="180" t="s">
        <v>333</v>
      </c>
      <c r="B36" s="180">
        <v>48</v>
      </c>
      <c r="C36" s="180" t="s">
        <v>415</v>
      </c>
      <c r="D36" s="180" t="s">
        <v>344</v>
      </c>
      <c r="E36" s="180"/>
      <c r="F36" s="180"/>
      <c r="G36" s="180" t="s">
        <v>416</v>
      </c>
      <c r="H36" s="180" t="s">
        <v>376</v>
      </c>
      <c r="I36" s="180"/>
      <c r="J36" s="180"/>
      <c r="K36" s="180"/>
      <c r="L36" s="180"/>
      <c r="M36" s="180"/>
      <c r="N36" s="180"/>
      <c r="O36" s="180"/>
    </row>
    <row r="37" spans="1:15" ht="16" x14ac:dyDescent="0.2">
      <c r="A37" s="180" t="s">
        <v>329</v>
      </c>
      <c r="B37" s="180">
        <v>49</v>
      </c>
      <c r="C37" s="180" t="s">
        <v>1057</v>
      </c>
      <c r="D37" s="180" t="s">
        <v>525</v>
      </c>
      <c r="E37" s="180">
        <v>2</v>
      </c>
      <c r="F37" s="180"/>
      <c r="G37" s="180"/>
      <c r="H37" s="180" t="s">
        <v>376</v>
      </c>
      <c r="I37" s="180"/>
      <c r="J37" s="180"/>
      <c r="K37" s="180"/>
      <c r="L37" s="180"/>
      <c r="M37" s="180"/>
      <c r="N37" s="180"/>
      <c r="O37" s="180"/>
    </row>
    <row r="38" spans="1:15" ht="16" x14ac:dyDescent="0.2">
      <c r="A38" s="180" t="s">
        <v>333</v>
      </c>
      <c r="B38" s="180">
        <v>50</v>
      </c>
      <c r="C38" s="180" t="s">
        <v>419</v>
      </c>
      <c r="D38" s="180" t="s">
        <v>362</v>
      </c>
      <c r="E38" s="180">
        <v>0</v>
      </c>
      <c r="F38" s="180"/>
      <c r="G38" s="180" t="s">
        <v>363</v>
      </c>
      <c r="H38" s="180" t="s">
        <v>376</v>
      </c>
      <c r="I38" s="180"/>
      <c r="J38" s="180"/>
      <c r="K38" s="180"/>
      <c r="L38" s="180"/>
      <c r="M38" s="180"/>
      <c r="N38" s="180"/>
      <c r="O38" s="180"/>
    </row>
    <row r="39" spans="1:15" ht="16" x14ac:dyDescent="0.2">
      <c r="A39" s="180" t="s">
        <v>373</v>
      </c>
      <c r="B39" s="180">
        <v>51</v>
      </c>
      <c r="C39" s="180" t="s">
        <v>401</v>
      </c>
      <c r="D39" s="180" t="s">
        <v>378</v>
      </c>
      <c r="E39" s="180">
        <v>1</v>
      </c>
      <c r="F39" s="180"/>
      <c r="G39" s="180" t="s">
        <v>420</v>
      </c>
      <c r="H39" s="180" t="s">
        <v>376</v>
      </c>
      <c r="I39" s="180"/>
      <c r="J39" s="180"/>
      <c r="K39" s="180"/>
      <c r="L39" s="180"/>
      <c r="M39" s="180"/>
      <c r="N39" s="180"/>
      <c r="O39" s="180"/>
    </row>
    <row r="40" spans="1:15" ht="16" x14ac:dyDescent="0.2">
      <c r="A40" s="180" t="s">
        <v>329</v>
      </c>
      <c r="B40" s="180">
        <v>54</v>
      </c>
      <c r="C40" s="180" t="s">
        <v>856</v>
      </c>
      <c r="D40" s="180" t="s">
        <v>342</v>
      </c>
      <c r="E40" s="180">
        <v>2</v>
      </c>
      <c r="F40" s="180"/>
      <c r="G40" s="180" t="s">
        <v>857</v>
      </c>
      <c r="H40" s="180" t="s">
        <v>376</v>
      </c>
      <c r="I40" s="180"/>
      <c r="J40" s="180"/>
      <c r="K40" s="180"/>
      <c r="L40" s="180"/>
      <c r="M40" s="180"/>
      <c r="N40" s="180"/>
      <c r="O40" s="180"/>
    </row>
    <row r="41" spans="1:15" ht="16" x14ac:dyDescent="0.2">
      <c r="A41" s="180" t="s">
        <v>333</v>
      </c>
      <c r="B41" s="180">
        <v>57</v>
      </c>
      <c r="C41" s="180" t="s">
        <v>425</v>
      </c>
      <c r="D41" s="180" t="s">
        <v>393</v>
      </c>
      <c r="E41" s="180">
        <v>3</v>
      </c>
      <c r="F41" s="180">
        <f>E25</f>
        <v>3</v>
      </c>
      <c r="G41" s="180" t="s">
        <v>426</v>
      </c>
      <c r="H41" s="180" t="s">
        <v>376</v>
      </c>
      <c r="I41" s="180"/>
      <c r="J41" s="180"/>
      <c r="K41" s="180"/>
      <c r="L41" s="180"/>
      <c r="M41" s="180"/>
      <c r="N41" s="180"/>
      <c r="O41" s="180"/>
    </row>
    <row r="42" spans="1:15" ht="16" x14ac:dyDescent="0.2">
      <c r="A42" s="180" t="s">
        <v>373</v>
      </c>
      <c r="B42" s="180">
        <v>58</v>
      </c>
      <c r="C42" s="180" t="s">
        <v>427</v>
      </c>
      <c r="D42" s="180" t="s">
        <v>378</v>
      </c>
      <c r="E42" s="180">
        <v>1</v>
      </c>
      <c r="F42" s="180"/>
      <c r="G42" s="180" t="s">
        <v>428</v>
      </c>
      <c r="H42" s="180" t="s">
        <v>376</v>
      </c>
      <c r="I42" s="180"/>
      <c r="J42" s="180"/>
      <c r="K42" s="180"/>
      <c r="L42" s="180"/>
      <c r="M42" s="180"/>
      <c r="N42" s="180"/>
      <c r="O42" s="180"/>
    </row>
    <row r="43" spans="1:15" ht="16" x14ac:dyDescent="0.2">
      <c r="A43" s="180" t="s">
        <v>329</v>
      </c>
      <c r="B43" s="180">
        <v>59</v>
      </c>
      <c r="C43" s="180" t="s">
        <v>865</v>
      </c>
      <c r="D43" s="180" t="s">
        <v>342</v>
      </c>
      <c r="E43" s="180">
        <v>2</v>
      </c>
      <c r="F43" s="180"/>
      <c r="G43" s="180" t="s">
        <v>866</v>
      </c>
      <c r="H43" s="180" t="s">
        <v>376</v>
      </c>
      <c r="I43" s="180"/>
      <c r="J43" s="180"/>
      <c r="K43" s="180"/>
      <c r="L43" s="180"/>
      <c r="M43" s="180"/>
      <c r="N43" s="180"/>
      <c r="O43" s="180"/>
    </row>
    <row r="44" spans="1:15" ht="16" x14ac:dyDescent="0.2">
      <c r="A44" s="180" t="s">
        <v>333</v>
      </c>
      <c r="B44" s="180">
        <v>60</v>
      </c>
      <c r="C44" s="180" t="s">
        <v>431</v>
      </c>
      <c r="D44" s="180" t="s">
        <v>396</v>
      </c>
      <c r="E44" s="180">
        <v>15</v>
      </c>
      <c r="F44" s="180">
        <f>E26</f>
        <v>15</v>
      </c>
      <c r="G44" s="180" t="s">
        <v>432</v>
      </c>
      <c r="H44" s="180" t="s">
        <v>376</v>
      </c>
      <c r="I44" s="180"/>
      <c r="J44" s="180"/>
      <c r="K44" s="180"/>
      <c r="L44" s="180"/>
      <c r="M44" s="180"/>
      <c r="N44" s="180"/>
      <c r="O44" s="180"/>
    </row>
    <row r="45" spans="1:15" ht="16" x14ac:dyDescent="0.2">
      <c r="A45" s="180" t="s">
        <v>329</v>
      </c>
      <c r="B45" s="180">
        <v>61</v>
      </c>
      <c r="C45" s="180" t="s">
        <v>330</v>
      </c>
      <c r="D45" s="180" t="s">
        <v>331</v>
      </c>
      <c r="E45" s="180">
        <v>-4</v>
      </c>
      <c r="F45" s="180"/>
      <c r="G45" s="180" t="s">
        <v>332</v>
      </c>
      <c r="H45" s="180" t="s">
        <v>376</v>
      </c>
      <c r="I45" s="180"/>
      <c r="J45" s="170" t="s">
        <v>1821</v>
      </c>
      <c r="K45" s="180"/>
      <c r="L45" s="180"/>
      <c r="M45" s="180"/>
      <c r="N45" s="180"/>
      <c r="O45" s="180"/>
    </row>
    <row r="46" spans="1:15" ht="16" x14ac:dyDescent="0.2">
      <c r="A46" s="180" t="s">
        <v>333</v>
      </c>
      <c r="B46" s="180">
        <v>61</v>
      </c>
      <c r="C46" s="180" t="s">
        <v>433</v>
      </c>
      <c r="D46" s="180" t="s">
        <v>404</v>
      </c>
      <c r="E46" s="180">
        <v>30</v>
      </c>
      <c r="F46" s="180">
        <f>F44*2</f>
        <v>30</v>
      </c>
      <c r="G46" s="180" t="s">
        <v>434</v>
      </c>
      <c r="H46" s="180" t="s">
        <v>376</v>
      </c>
      <c r="I46" s="180"/>
      <c r="J46" s="180"/>
      <c r="K46" s="180"/>
      <c r="L46" s="180"/>
      <c r="M46" s="180"/>
      <c r="N46" s="180"/>
      <c r="O46" s="180"/>
    </row>
    <row r="47" spans="1:15" ht="16" x14ac:dyDescent="0.2">
      <c r="A47" s="180" t="s">
        <v>333</v>
      </c>
      <c r="B47" s="180">
        <v>62</v>
      </c>
      <c r="C47" s="180" t="s">
        <v>435</v>
      </c>
      <c r="D47" s="180" t="s">
        <v>364</v>
      </c>
      <c r="E47" s="180">
        <v>1</v>
      </c>
      <c r="F47" s="180"/>
      <c r="G47" s="180" t="s">
        <v>436</v>
      </c>
      <c r="H47" s="180" t="s">
        <v>376</v>
      </c>
      <c r="I47" s="180" t="s">
        <v>85</v>
      </c>
      <c r="J47" s="180"/>
      <c r="K47" s="180"/>
      <c r="L47" s="180"/>
      <c r="M47" s="180"/>
      <c r="N47" s="180"/>
      <c r="O47" s="180"/>
    </row>
    <row r="48" spans="1:15" ht="16" x14ac:dyDescent="0.2">
      <c r="A48" s="180" t="s">
        <v>333</v>
      </c>
      <c r="B48" s="180">
        <v>63</v>
      </c>
      <c r="C48" s="180" t="s">
        <v>437</v>
      </c>
      <c r="D48" s="180" t="s">
        <v>364</v>
      </c>
      <c r="E48" s="180">
        <v>1</v>
      </c>
      <c r="F48" s="180"/>
      <c r="G48" s="180" t="s">
        <v>438</v>
      </c>
      <c r="H48" s="180" t="s">
        <v>376</v>
      </c>
      <c r="I48" s="180"/>
      <c r="J48" s="180"/>
      <c r="K48" s="180"/>
      <c r="L48" s="180"/>
      <c r="M48" s="180"/>
      <c r="N48" s="180"/>
      <c r="O48" s="180"/>
    </row>
    <row r="49" spans="1:15" ht="16" x14ac:dyDescent="0.2">
      <c r="A49" s="180" t="s">
        <v>333</v>
      </c>
      <c r="B49" s="180">
        <v>64</v>
      </c>
      <c r="C49" s="180" t="s">
        <v>439</v>
      </c>
      <c r="D49" s="180" t="s">
        <v>440</v>
      </c>
      <c r="E49" s="180">
        <v>75</v>
      </c>
      <c r="F49" s="180"/>
      <c r="G49" s="180" t="s">
        <v>441</v>
      </c>
      <c r="H49" s="180" t="s">
        <v>376</v>
      </c>
      <c r="I49" s="180" t="s">
        <v>1831</v>
      </c>
      <c r="J49" s="180"/>
      <c r="K49" s="180"/>
      <c r="L49" s="180"/>
      <c r="M49" s="180"/>
      <c r="N49" s="180"/>
      <c r="O49" s="180"/>
    </row>
    <row r="50" spans="1:15" ht="16" x14ac:dyDescent="0.2">
      <c r="A50" s="180" t="s">
        <v>333</v>
      </c>
      <c r="B50" s="180">
        <v>65</v>
      </c>
      <c r="C50" s="180" t="s">
        <v>442</v>
      </c>
      <c r="D50" s="180" t="s">
        <v>404</v>
      </c>
      <c r="E50" s="180">
        <v>30</v>
      </c>
      <c r="F50" s="180"/>
      <c r="G50" s="180" t="s">
        <v>443</v>
      </c>
      <c r="H50" s="180" t="s">
        <v>376</v>
      </c>
      <c r="I50" s="180" t="s">
        <v>1832</v>
      </c>
      <c r="J50" s="180"/>
      <c r="K50" s="180"/>
      <c r="L50" s="180"/>
      <c r="M50" s="180"/>
      <c r="N50" s="180"/>
      <c r="O50" s="180"/>
    </row>
    <row r="51" spans="1:15" ht="16" x14ac:dyDescent="0.2">
      <c r="A51" s="180" t="s">
        <v>333</v>
      </c>
      <c r="B51" s="180">
        <v>66</v>
      </c>
      <c r="C51" s="180" t="s">
        <v>444</v>
      </c>
      <c r="D51" s="180" t="s">
        <v>445</v>
      </c>
      <c r="E51" s="180">
        <v>100</v>
      </c>
      <c r="F51" s="180"/>
      <c r="G51" s="180" t="s">
        <v>446</v>
      </c>
      <c r="H51" s="180" t="s">
        <v>376</v>
      </c>
      <c r="I51" s="180"/>
      <c r="J51" s="180"/>
      <c r="K51" s="180"/>
      <c r="L51" s="180"/>
      <c r="M51" s="180"/>
      <c r="N51" s="180"/>
      <c r="O51" s="180"/>
    </row>
    <row r="52" spans="1:15" ht="16" x14ac:dyDescent="0.2">
      <c r="A52" s="180" t="s">
        <v>373</v>
      </c>
      <c r="B52" s="180">
        <v>67</v>
      </c>
      <c r="C52" s="180" t="s">
        <v>447</v>
      </c>
      <c r="D52" s="180" t="s">
        <v>378</v>
      </c>
      <c r="E52" s="180">
        <v>1</v>
      </c>
      <c r="F52" s="180"/>
      <c r="G52" s="180" t="s">
        <v>448</v>
      </c>
      <c r="H52" s="180" t="s">
        <v>376</v>
      </c>
      <c r="I52" s="180"/>
      <c r="J52" s="180"/>
      <c r="K52" s="180"/>
      <c r="L52" s="180"/>
      <c r="M52" s="180"/>
      <c r="N52" s="180"/>
      <c r="O52" s="180"/>
    </row>
    <row r="53" spans="1:15" ht="16" x14ac:dyDescent="0.2">
      <c r="A53" s="180" t="s">
        <v>333</v>
      </c>
      <c r="B53" s="180">
        <v>68</v>
      </c>
      <c r="C53" s="180" t="s">
        <v>449</v>
      </c>
      <c r="D53" s="180" t="s">
        <v>393</v>
      </c>
      <c r="E53" s="180">
        <v>3</v>
      </c>
      <c r="F53" s="180"/>
      <c r="G53" s="180" t="s">
        <v>450</v>
      </c>
      <c r="H53" s="180" t="s">
        <v>376</v>
      </c>
      <c r="I53" s="181" t="s">
        <v>1833</v>
      </c>
      <c r="J53" s="180" t="s">
        <v>1834</v>
      </c>
      <c r="K53" s="180"/>
      <c r="L53" s="180"/>
      <c r="M53" s="180"/>
      <c r="N53" s="180"/>
      <c r="O53" s="180"/>
    </row>
    <row r="54" spans="1:15" ht="16" x14ac:dyDescent="0.2">
      <c r="A54" s="180" t="s">
        <v>451</v>
      </c>
      <c r="B54" s="180">
        <v>69</v>
      </c>
      <c r="C54" s="180" t="s">
        <v>452</v>
      </c>
      <c r="D54" s="180" t="s">
        <v>378</v>
      </c>
      <c r="E54" s="180">
        <v>1</v>
      </c>
      <c r="F54" s="180"/>
      <c r="G54" s="180" t="s">
        <v>453</v>
      </c>
      <c r="H54" s="180" t="s">
        <v>376</v>
      </c>
      <c r="I54" s="180"/>
      <c r="J54" s="180"/>
      <c r="K54" s="180"/>
      <c r="L54" s="180"/>
      <c r="M54" s="180"/>
      <c r="N54" s="180"/>
      <c r="O54" s="180"/>
    </row>
    <row r="55" spans="1:15" ht="16" x14ac:dyDescent="0.2">
      <c r="A55" s="180" t="s">
        <v>333</v>
      </c>
      <c r="B55" s="180">
        <v>70</v>
      </c>
      <c r="C55" s="180" t="s">
        <v>454</v>
      </c>
      <c r="D55" s="180" t="s">
        <v>378</v>
      </c>
      <c r="E55" s="180">
        <v>1</v>
      </c>
      <c r="F55" s="180"/>
      <c r="G55" s="180" t="s">
        <v>455</v>
      </c>
      <c r="H55" s="180" t="s">
        <v>376</v>
      </c>
      <c r="I55" s="180"/>
      <c r="J55" s="180"/>
      <c r="K55" s="180"/>
      <c r="L55" s="180"/>
      <c r="M55" s="180"/>
      <c r="N55" s="180"/>
      <c r="O55" s="180"/>
    </row>
    <row r="56" spans="1:15" ht="16" x14ac:dyDescent="0.2">
      <c r="A56" s="180" t="s">
        <v>333</v>
      </c>
      <c r="B56" s="180">
        <v>71</v>
      </c>
      <c r="C56" s="180" t="s">
        <v>456</v>
      </c>
      <c r="D56" s="180" t="s">
        <v>347</v>
      </c>
      <c r="E56" s="180">
        <v>2</v>
      </c>
      <c r="F56" s="180"/>
      <c r="G56" s="180" t="s">
        <v>457</v>
      </c>
      <c r="H56" s="180" t="s">
        <v>376</v>
      </c>
      <c r="I56" s="180"/>
      <c r="J56" s="180"/>
      <c r="K56" s="180"/>
      <c r="L56" s="180"/>
      <c r="M56" s="180"/>
      <c r="N56" s="180"/>
      <c r="O56" s="180"/>
    </row>
    <row r="57" spans="1:15" ht="16" x14ac:dyDescent="0.2">
      <c r="A57" s="180" t="s">
        <v>333</v>
      </c>
      <c r="B57" s="180">
        <v>72</v>
      </c>
      <c r="C57" s="180" t="s">
        <v>458</v>
      </c>
      <c r="D57" s="180" t="s">
        <v>459</v>
      </c>
      <c r="E57" s="180">
        <v>0.5</v>
      </c>
      <c r="F57" s="180"/>
      <c r="G57" s="180" t="s">
        <v>460</v>
      </c>
      <c r="H57" s="180" t="s">
        <v>376</v>
      </c>
      <c r="I57" s="180" t="s">
        <v>85</v>
      </c>
      <c r="J57" s="180"/>
      <c r="K57" s="180"/>
      <c r="L57" s="180"/>
      <c r="M57" s="180"/>
      <c r="N57" s="180"/>
      <c r="O57" s="180"/>
    </row>
    <row r="58" spans="1:15" ht="16" x14ac:dyDescent="0.2">
      <c r="A58" s="180" t="s">
        <v>333</v>
      </c>
      <c r="B58" s="180">
        <v>73</v>
      </c>
      <c r="C58" s="180" t="s">
        <v>461</v>
      </c>
      <c r="D58" s="180" t="s">
        <v>462</v>
      </c>
      <c r="E58" s="180">
        <v>10.1</v>
      </c>
      <c r="F58" s="186">
        <f>BackgroundInfo1!$C$40</f>
        <v>0.10145052782120562</v>
      </c>
      <c r="G58" s="180" t="s">
        <v>463</v>
      </c>
      <c r="H58" s="180" t="s">
        <v>376</v>
      </c>
      <c r="I58" s="180"/>
      <c r="J58" s="180"/>
      <c r="K58" s="180"/>
      <c r="L58" s="180"/>
      <c r="M58" s="180"/>
      <c r="N58" s="180"/>
      <c r="O58" s="180"/>
    </row>
    <row r="59" spans="1:15" ht="16" x14ac:dyDescent="0.2">
      <c r="A59" s="180" t="s">
        <v>333</v>
      </c>
      <c r="B59" s="180">
        <v>74</v>
      </c>
      <c r="C59" s="180" t="s">
        <v>464</v>
      </c>
      <c r="D59" s="180" t="s">
        <v>465</v>
      </c>
      <c r="E59" s="180">
        <v>8</v>
      </c>
      <c r="F59" s="183">
        <f>0.968/12.1</f>
        <v>0.08</v>
      </c>
      <c r="G59" s="180" t="s">
        <v>466</v>
      </c>
      <c r="H59" s="180" t="s">
        <v>376</v>
      </c>
      <c r="I59" s="180"/>
      <c r="J59" s="180" t="s">
        <v>1835</v>
      </c>
      <c r="K59" s="180"/>
      <c r="L59" s="180"/>
      <c r="M59" s="180"/>
      <c r="N59" s="180"/>
      <c r="O59" s="180"/>
    </row>
    <row r="60" spans="1:15" ht="16" x14ac:dyDescent="0.2">
      <c r="A60" s="180" t="s">
        <v>451</v>
      </c>
      <c r="B60" s="180">
        <v>75</v>
      </c>
      <c r="C60" s="180" t="s">
        <v>467</v>
      </c>
      <c r="D60" s="180" t="s">
        <v>378</v>
      </c>
      <c r="E60" s="180">
        <v>1</v>
      </c>
      <c r="F60" s="180"/>
      <c r="G60" s="180" t="s">
        <v>468</v>
      </c>
      <c r="H60" s="180" t="s">
        <v>376</v>
      </c>
      <c r="I60" s="180"/>
      <c r="J60" s="180"/>
      <c r="K60" s="180"/>
      <c r="L60" s="180"/>
      <c r="M60" s="180"/>
      <c r="N60" s="180"/>
      <c r="O60" s="180"/>
    </row>
    <row r="61" spans="1:15" ht="16" x14ac:dyDescent="0.2">
      <c r="A61" s="180" t="s">
        <v>333</v>
      </c>
      <c r="B61" s="180">
        <v>76</v>
      </c>
      <c r="C61" s="180" t="s">
        <v>469</v>
      </c>
      <c r="D61" s="180" t="s">
        <v>470</v>
      </c>
      <c r="E61" s="180">
        <v>5</v>
      </c>
      <c r="F61" s="186">
        <f>Tables12!C5</f>
        <v>-4.9569402718106392E-2</v>
      </c>
      <c r="G61" s="180" t="s">
        <v>471</v>
      </c>
      <c r="H61" s="180" t="s">
        <v>376</v>
      </c>
      <c r="I61" s="180"/>
      <c r="K61" s="180"/>
      <c r="L61" s="180"/>
      <c r="M61" s="180"/>
      <c r="N61" s="180"/>
      <c r="O61" s="180"/>
    </row>
    <row r="62" spans="1:15" ht="16" x14ac:dyDescent="0.2">
      <c r="A62" s="180" t="s">
        <v>333</v>
      </c>
      <c r="B62" s="180">
        <v>77</v>
      </c>
      <c r="C62" s="180" t="s">
        <v>472</v>
      </c>
      <c r="D62" s="180" t="s">
        <v>473</v>
      </c>
      <c r="E62" s="180">
        <v>0.4</v>
      </c>
      <c r="F62" s="186">
        <f>Tables12!C6</f>
        <v>-3.511166025865875E-3</v>
      </c>
      <c r="G62" s="180" t="s">
        <v>474</v>
      </c>
      <c r="H62" s="180" t="s">
        <v>376</v>
      </c>
      <c r="I62" s="180"/>
      <c r="J62" s="180"/>
      <c r="K62" s="180"/>
      <c r="L62" s="180"/>
      <c r="M62" s="180"/>
      <c r="N62" s="180"/>
      <c r="O62" s="180"/>
    </row>
    <row r="63" spans="1:15" ht="16" x14ac:dyDescent="0.2">
      <c r="A63" s="180" t="s">
        <v>333</v>
      </c>
      <c r="B63" s="180">
        <v>78</v>
      </c>
      <c r="C63" s="180" t="s">
        <v>475</v>
      </c>
      <c r="D63" s="180" t="s">
        <v>393</v>
      </c>
      <c r="E63" s="180">
        <v>3</v>
      </c>
      <c r="F63" s="180"/>
      <c r="G63" s="180" t="s">
        <v>476</v>
      </c>
      <c r="H63" s="180" t="s">
        <v>376</v>
      </c>
      <c r="I63" s="180" t="s">
        <v>1827</v>
      </c>
      <c r="J63" s="180"/>
      <c r="K63" s="180"/>
      <c r="L63" s="180"/>
      <c r="M63" s="180"/>
      <c r="N63" s="180"/>
      <c r="O63" s="180"/>
    </row>
    <row r="64" spans="1:15" ht="16" x14ac:dyDescent="0.2">
      <c r="A64" s="180" t="s">
        <v>329</v>
      </c>
      <c r="B64" s="180">
        <v>79</v>
      </c>
      <c r="C64" s="180" t="s">
        <v>1044</v>
      </c>
      <c r="D64" s="180" t="s">
        <v>342</v>
      </c>
      <c r="E64" s="180">
        <v>2</v>
      </c>
      <c r="F64" s="180"/>
      <c r="G64" s="180" t="s">
        <v>1045</v>
      </c>
      <c r="H64" s="180" t="s">
        <v>376</v>
      </c>
      <c r="I64" s="180"/>
      <c r="J64" s="180"/>
      <c r="K64" s="180"/>
      <c r="L64" s="180"/>
      <c r="M64" s="180"/>
      <c r="N64" s="180"/>
      <c r="O64" s="180"/>
    </row>
    <row r="65" spans="1:15" ht="16" x14ac:dyDescent="0.2">
      <c r="A65" s="180" t="s">
        <v>329</v>
      </c>
      <c r="B65" s="180">
        <v>80</v>
      </c>
      <c r="C65" s="180" t="s">
        <v>928</v>
      </c>
      <c r="D65" s="180" t="s">
        <v>342</v>
      </c>
      <c r="E65" s="180">
        <v>2</v>
      </c>
      <c r="F65" s="180"/>
      <c r="G65" s="180" t="s">
        <v>929</v>
      </c>
      <c r="H65" s="180" t="s">
        <v>376</v>
      </c>
      <c r="I65" s="180"/>
      <c r="J65" s="180"/>
      <c r="K65" s="180"/>
      <c r="L65" s="180"/>
      <c r="M65" s="180"/>
      <c r="N65" s="180"/>
      <c r="O65" s="180"/>
    </row>
    <row r="66" spans="1:15" ht="16" x14ac:dyDescent="0.2">
      <c r="A66" s="180" t="s">
        <v>451</v>
      </c>
      <c r="B66" s="180">
        <v>83</v>
      </c>
      <c r="C66" s="180" t="s">
        <v>467</v>
      </c>
      <c r="D66" s="180" t="s">
        <v>378</v>
      </c>
      <c r="E66" s="180">
        <v>1</v>
      </c>
      <c r="F66" s="180"/>
      <c r="G66" s="180" t="s">
        <v>481</v>
      </c>
      <c r="H66" s="180" t="s">
        <v>376</v>
      </c>
      <c r="I66" s="180"/>
      <c r="J66" s="180"/>
      <c r="K66" s="180"/>
      <c r="L66" s="180"/>
      <c r="M66" s="180"/>
      <c r="N66" s="180"/>
      <c r="O66" s="180"/>
    </row>
    <row r="67" spans="1:15" ht="16" x14ac:dyDescent="0.2">
      <c r="A67" s="180" t="s">
        <v>451</v>
      </c>
      <c r="B67" s="180">
        <v>84</v>
      </c>
      <c r="C67" s="180" t="s">
        <v>482</v>
      </c>
      <c r="D67" s="180" t="s">
        <v>378</v>
      </c>
      <c r="E67" s="180">
        <v>1</v>
      </c>
      <c r="F67" s="180"/>
      <c r="G67" s="180" t="s">
        <v>483</v>
      </c>
      <c r="H67" s="180" t="s">
        <v>376</v>
      </c>
      <c r="I67" s="180"/>
      <c r="J67" s="180"/>
      <c r="K67" s="180"/>
      <c r="L67" s="180"/>
      <c r="M67" s="180"/>
      <c r="N67" s="180"/>
      <c r="O67" s="180"/>
    </row>
    <row r="68" spans="1:15" ht="16" x14ac:dyDescent="0.2">
      <c r="A68" s="180" t="s">
        <v>373</v>
      </c>
      <c r="B68" s="180">
        <v>85</v>
      </c>
      <c r="C68" s="180" t="s">
        <v>484</v>
      </c>
      <c r="D68" s="180" t="s">
        <v>375</v>
      </c>
      <c r="E68" s="180">
        <v>1</v>
      </c>
      <c r="F68" s="180"/>
      <c r="G68" s="180"/>
      <c r="H68" s="180" t="s">
        <v>376</v>
      </c>
      <c r="I68" s="180"/>
      <c r="J68" s="180"/>
      <c r="K68" s="180"/>
      <c r="L68" s="180"/>
      <c r="M68" s="180"/>
      <c r="N68" s="180"/>
      <c r="O68" s="180"/>
    </row>
    <row r="69" spans="1:15" ht="16" x14ac:dyDescent="0.2">
      <c r="A69" s="180" t="s">
        <v>333</v>
      </c>
      <c r="B69" s="180">
        <v>86</v>
      </c>
      <c r="C69" s="180" t="s">
        <v>485</v>
      </c>
      <c r="D69" s="180" t="s">
        <v>486</v>
      </c>
      <c r="E69" s="180">
        <v>7.4</v>
      </c>
      <c r="F69" s="186">
        <f>Tables12!C20</f>
        <v>7.391374414902116E-2</v>
      </c>
      <c r="G69" s="180" t="s">
        <v>487</v>
      </c>
      <c r="H69" s="180" t="s">
        <v>376</v>
      </c>
      <c r="I69" s="180"/>
      <c r="J69" s="180"/>
      <c r="K69" s="180"/>
      <c r="L69" s="180"/>
      <c r="M69" s="180"/>
      <c r="N69" s="180"/>
      <c r="O69" s="180"/>
    </row>
    <row r="70" spans="1:15" ht="16" x14ac:dyDescent="0.2">
      <c r="A70" s="180" t="s">
        <v>333</v>
      </c>
      <c r="B70" s="180">
        <v>87</v>
      </c>
      <c r="C70" s="180" t="s">
        <v>488</v>
      </c>
      <c r="D70" s="180" t="s">
        <v>489</v>
      </c>
      <c r="E70" s="180">
        <v>3.5</v>
      </c>
      <c r="F70" s="186">
        <f>Tables12!D20</f>
        <v>3.4935819056098341E-2</v>
      </c>
      <c r="G70" s="180" t="s">
        <v>490</v>
      </c>
      <c r="H70" s="180" t="s">
        <v>376</v>
      </c>
      <c r="I70" s="180"/>
      <c r="J70" s="180"/>
      <c r="K70" s="180"/>
      <c r="L70" s="180"/>
      <c r="M70" s="180"/>
      <c r="N70" s="180"/>
      <c r="O70" s="180"/>
    </row>
    <row r="71" spans="1:15" ht="16" x14ac:dyDescent="0.2">
      <c r="A71" s="180" t="s">
        <v>333</v>
      </c>
      <c r="B71" s="180">
        <v>88</v>
      </c>
      <c r="C71" s="180" t="s">
        <v>491</v>
      </c>
      <c r="D71" s="180" t="s">
        <v>492</v>
      </c>
      <c r="E71" s="180">
        <v>17.600000000000001</v>
      </c>
      <c r="F71" s="186">
        <f>-MAX(Tables12!C21,Tables12!D21)</f>
        <v>0.17572104021165283</v>
      </c>
      <c r="G71" s="180" t="s">
        <v>493</v>
      </c>
      <c r="H71" s="180" t="s">
        <v>376</v>
      </c>
      <c r="I71" s="180"/>
      <c r="J71" s="180"/>
      <c r="K71" s="180"/>
      <c r="L71" s="180"/>
      <c r="M71" s="180"/>
      <c r="N71" s="180"/>
      <c r="O71" s="180"/>
    </row>
    <row r="72" spans="1:15" ht="16" x14ac:dyDescent="0.2">
      <c r="A72" s="180" t="s">
        <v>333</v>
      </c>
      <c r="B72" s="180">
        <v>89</v>
      </c>
      <c r="C72" s="180" t="s">
        <v>494</v>
      </c>
      <c r="D72" s="180" t="s">
        <v>495</v>
      </c>
      <c r="E72" s="180">
        <v>21.6</v>
      </c>
      <c r="F72" s="186">
        <f>-MIN(Tables12!C21,Tables12!D21)</f>
        <v>0.21600832215794677</v>
      </c>
      <c r="G72" s="180" t="s">
        <v>496</v>
      </c>
      <c r="H72" s="180" t="s">
        <v>376</v>
      </c>
      <c r="I72" s="180"/>
      <c r="J72" s="180"/>
      <c r="K72" s="180"/>
      <c r="L72" s="180"/>
      <c r="M72" s="180"/>
      <c r="N72" s="180"/>
      <c r="O72" s="180"/>
    </row>
    <row r="73" spans="1:15" ht="16" x14ac:dyDescent="0.2">
      <c r="A73" s="180" t="s">
        <v>333</v>
      </c>
      <c r="B73" s="180">
        <v>93</v>
      </c>
      <c r="C73" s="180" t="s">
        <v>502</v>
      </c>
      <c r="D73" s="180" t="s">
        <v>338</v>
      </c>
      <c r="E73" s="180">
        <v>31</v>
      </c>
      <c r="F73" s="180"/>
      <c r="G73" s="180" t="s">
        <v>503</v>
      </c>
      <c r="H73" s="180" t="s">
        <v>376</v>
      </c>
      <c r="I73" s="180" t="s">
        <v>1837</v>
      </c>
      <c r="J73" s="180" t="s">
        <v>1836</v>
      </c>
      <c r="K73" s="180"/>
      <c r="L73" s="180"/>
      <c r="M73" s="180"/>
      <c r="N73" s="180"/>
      <c r="O73" s="180"/>
    </row>
    <row r="74" spans="1:15" ht="16" x14ac:dyDescent="0.2">
      <c r="A74" s="180" t="s">
        <v>333</v>
      </c>
      <c r="B74" s="180">
        <v>96</v>
      </c>
      <c r="C74" s="180" t="s">
        <v>504</v>
      </c>
      <c r="D74" s="181" t="s">
        <v>342</v>
      </c>
      <c r="E74" s="180">
        <v>2</v>
      </c>
      <c r="F74" s="183">
        <f>-PartD!$J$58</f>
        <v>1.6884794587275275E-2</v>
      </c>
      <c r="G74" s="180" t="s">
        <v>505</v>
      </c>
      <c r="H74" s="180" t="s">
        <v>376</v>
      </c>
      <c r="I74" s="180"/>
      <c r="J74" s="180"/>
      <c r="K74" s="180"/>
      <c r="L74" s="180"/>
      <c r="M74" s="180"/>
      <c r="N74" s="180"/>
      <c r="O74" s="180"/>
    </row>
    <row r="75" spans="1:15" ht="16" x14ac:dyDescent="0.2">
      <c r="A75" s="180" t="s">
        <v>333</v>
      </c>
      <c r="B75" s="180">
        <v>97</v>
      </c>
      <c r="C75" s="180" t="s">
        <v>506</v>
      </c>
      <c r="D75" s="180" t="s">
        <v>342</v>
      </c>
      <c r="E75" s="180">
        <v>2</v>
      </c>
      <c r="F75" s="185">
        <f>F74*BackgroundInfo1!$B$10*(BackgroundInfo1!$C$32+BackgroundInfo1!$C$33)/(1-BackgroundInfo1!$B$10)</f>
        <v>1.8565082253291465</v>
      </c>
      <c r="G75" s="180" t="s">
        <v>507</v>
      </c>
      <c r="H75" s="180" t="s">
        <v>376</v>
      </c>
      <c r="I75" s="180"/>
      <c r="J75" s="180"/>
      <c r="K75" s="180"/>
      <c r="L75" s="180"/>
      <c r="M75" s="180"/>
      <c r="N75" s="180"/>
      <c r="O75" s="180"/>
    </row>
    <row r="76" spans="1:15" ht="16" x14ac:dyDescent="0.2">
      <c r="A76" s="180" t="s">
        <v>451</v>
      </c>
      <c r="B76" s="180">
        <v>99</v>
      </c>
      <c r="C76" s="180" t="s">
        <v>510</v>
      </c>
      <c r="D76" s="180" t="s">
        <v>378</v>
      </c>
      <c r="E76" s="180">
        <v>1</v>
      </c>
      <c r="F76" s="180"/>
      <c r="G76" s="180" t="s">
        <v>511</v>
      </c>
      <c r="H76" s="180" t="s">
        <v>376</v>
      </c>
      <c r="I76" s="180"/>
      <c r="J76" s="180"/>
      <c r="K76" s="180"/>
      <c r="L76" s="180"/>
      <c r="M76" s="180"/>
      <c r="N76" s="180"/>
      <c r="O76" s="180"/>
    </row>
    <row r="77" spans="1:15" ht="16" x14ac:dyDescent="0.2">
      <c r="A77" s="180" t="s">
        <v>329</v>
      </c>
      <c r="B77" s="180">
        <v>101</v>
      </c>
      <c r="C77" s="180" t="s">
        <v>946</v>
      </c>
      <c r="D77" s="180" t="s">
        <v>342</v>
      </c>
      <c r="E77" s="180">
        <v>2</v>
      </c>
      <c r="F77" s="180"/>
      <c r="G77" s="180" t="s">
        <v>947</v>
      </c>
      <c r="H77" s="180" t="s">
        <v>376</v>
      </c>
      <c r="I77" s="180"/>
      <c r="J77" s="180"/>
      <c r="K77" s="180"/>
      <c r="L77" s="180"/>
      <c r="M77" s="180"/>
      <c r="N77" s="180"/>
      <c r="O77" s="180"/>
    </row>
    <row r="78" spans="1:15" ht="16" x14ac:dyDescent="0.2">
      <c r="A78" s="180" t="s">
        <v>451</v>
      </c>
      <c r="B78" s="180">
        <v>104</v>
      </c>
      <c r="C78" s="180" t="s">
        <v>467</v>
      </c>
      <c r="D78" s="180" t="s">
        <v>342</v>
      </c>
      <c r="E78" s="180">
        <v>2</v>
      </c>
      <c r="F78" s="180"/>
      <c r="G78" s="180" t="s">
        <v>515</v>
      </c>
      <c r="H78" s="180" t="s">
        <v>376</v>
      </c>
      <c r="I78" s="180"/>
      <c r="J78" s="180"/>
      <c r="K78" s="180"/>
      <c r="L78" s="180"/>
      <c r="M78" s="180"/>
      <c r="N78" s="180"/>
      <c r="O78" s="180"/>
    </row>
    <row r="79" spans="1:15" ht="16" x14ac:dyDescent="0.2">
      <c r="A79" s="180" t="s">
        <v>451</v>
      </c>
      <c r="B79" s="180">
        <v>105</v>
      </c>
      <c r="C79" s="180" t="s">
        <v>516</v>
      </c>
      <c r="D79" s="180" t="s">
        <v>378</v>
      </c>
      <c r="E79" s="180">
        <v>1</v>
      </c>
      <c r="F79" s="180"/>
      <c r="G79" s="180" t="s">
        <v>517</v>
      </c>
      <c r="H79" s="180" t="s">
        <v>376</v>
      </c>
      <c r="I79" s="180"/>
      <c r="J79" s="180"/>
      <c r="K79" s="180"/>
      <c r="L79" s="180"/>
      <c r="M79" s="180"/>
      <c r="N79" s="180"/>
      <c r="O79" s="180"/>
    </row>
    <row r="80" spans="1:15" ht="16" x14ac:dyDescent="0.2">
      <c r="A80" s="180" t="s">
        <v>451</v>
      </c>
      <c r="B80" s="180">
        <v>106</v>
      </c>
      <c r="C80" s="180" t="s">
        <v>518</v>
      </c>
      <c r="D80" s="180" t="s">
        <v>378</v>
      </c>
      <c r="E80" s="180">
        <v>1</v>
      </c>
      <c r="F80" s="180"/>
      <c r="G80" s="180" t="s">
        <v>519</v>
      </c>
      <c r="H80" s="180" t="s">
        <v>376</v>
      </c>
      <c r="I80" s="180"/>
      <c r="J80" s="180"/>
      <c r="K80" s="180"/>
      <c r="L80" s="180"/>
      <c r="M80" s="180"/>
      <c r="N80" s="180"/>
      <c r="O80" s="180"/>
    </row>
    <row r="81" spans="1:15" ht="16" x14ac:dyDescent="0.2">
      <c r="A81" s="180" t="s">
        <v>451</v>
      </c>
      <c r="B81" s="180">
        <v>107</v>
      </c>
      <c r="C81" s="180" t="s">
        <v>520</v>
      </c>
      <c r="D81" s="180" t="s">
        <v>342</v>
      </c>
      <c r="E81" s="180">
        <v>2</v>
      </c>
      <c r="F81" s="180"/>
      <c r="G81" s="180" t="s">
        <v>521</v>
      </c>
      <c r="H81" s="180" t="s">
        <v>376</v>
      </c>
      <c r="I81" s="180"/>
      <c r="J81" s="180"/>
      <c r="K81" s="180"/>
      <c r="L81" s="180"/>
      <c r="M81" s="180"/>
      <c r="N81" s="180"/>
      <c r="O81" s="180"/>
    </row>
    <row r="82" spans="1:15" ht="16" x14ac:dyDescent="0.2">
      <c r="A82" s="180" t="s">
        <v>333</v>
      </c>
      <c r="B82" s="180">
        <v>108</v>
      </c>
      <c r="C82" s="180" t="s">
        <v>522</v>
      </c>
      <c r="D82" s="180" t="s">
        <v>344</v>
      </c>
      <c r="E82" s="180"/>
      <c r="F82" s="180"/>
      <c r="G82" s="180" t="s">
        <v>523</v>
      </c>
      <c r="H82" s="180" t="s">
        <v>376</v>
      </c>
      <c r="I82" s="180"/>
      <c r="J82" s="180"/>
      <c r="K82" s="180"/>
      <c r="L82" s="180"/>
      <c r="M82" s="180"/>
      <c r="N82" s="180"/>
      <c r="O82" s="180"/>
    </row>
    <row r="83" spans="1:15" ht="16" x14ac:dyDescent="0.2">
      <c r="A83" s="180" t="s">
        <v>451</v>
      </c>
      <c r="B83" s="180">
        <v>109</v>
      </c>
      <c r="C83" s="180" t="s">
        <v>524</v>
      </c>
      <c r="D83" s="180" t="s">
        <v>525</v>
      </c>
      <c r="E83" s="180">
        <v>2</v>
      </c>
      <c r="F83" s="180"/>
      <c r="G83" s="180"/>
      <c r="H83" s="180" t="s">
        <v>376</v>
      </c>
      <c r="I83" s="180"/>
      <c r="J83" s="180"/>
      <c r="K83" s="180"/>
      <c r="L83" s="180"/>
      <c r="M83" s="180"/>
      <c r="N83" s="180"/>
      <c r="O83" s="180"/>
    </row>
    <row r="84" spans="1:15" ht="16" x14ac:dyDescent="0.2">
      <c r="A84" s="180" t="s">
        <v>451</v>
      </c>
      <c r="B84" s="180">
        <v>110</v>
      </c>
      <c r="C84" s="180" t="s">
        <v>526</v>
      </c>
      <c r="D84" s="180" t="s">
        <v>342</v>
      </c>
      <c r="E84" s="180">
        <v>2</v>
      </c>
      <c r="F84" s="180"/>
      <c r="G84" s="180" t="s">
        <v>527</v>
      </c>
      <c r="H84" s="180" t="s">
        <v>376</v>
      </c>
      <c r="I84" s="180"/>
      <c r="J84" s="180"/>
      <c r="K84" s="180"/>
      <c r="L84" s="180"/>
      <c r="M84" s="180"/>
      <c r="N84" s="180"/>
      <c r="O84" s="180"/>
    </row>
    <row r="85" spans="1:15" ht="16" x14ac:dyDescent="0.2">
      <c r="A85" s="180" t="s">
        <v>333</v>
      </c>
      <c r="B85" s="180">
        <v>111</v>
      </c>
      <c r="C85" s="180" t="s">
        <v>528</v>
      </c>
      <c r="D85" s="180" t="s">
        <v>362</v>
      </c>
      <c r="E85" s="180">
        <v>0</v>
      </c>
      <c r="F85" s="180"/>
      <c r="G85" s="180" t="s">
        <v>529</v>
      </c>
      <c r="H85" s="180" t="s">
        <v>376</v>
      </c>
      <c r="I85" s="180" t="s">
        <v>85</v>
      </c>
      <c r="J85" s="180"/>
      <c r="K85" s="180"/>
      <c r="L85" s="180"/>
      <c r="M85" s="180"/>
      <c r="N85" s="180"/>
      <c r="O85" s="180"/>
    </row>
    <row r="86" spans="1:15" ht="16" x14ac:dyDescent="0.2">
      <c r="A86" s="180" t="s">
        <v>333</v>
      </c>
      <c r="B86" s="180">
        <v>112</v>
      </c>
      <c r="C86" s="180" t="s">
        <v>530</v>
      </c>
      <c r="D86" s="180" t="s">
        <v>362</v>
      </c>
      <c r="E86" s="180">
        <v>0</v>
      </c>
      <c r="F86" s="180">
        <f>E85</f>
        <v>0</v>
      </c>
      <c r="G86" s="180" t="s">
        <v>531</v>
      </c>
      <c r="H86" s="180" t="s">
        <v>376</v>
      </c>
      <c r="I86" s="180"/>
      <c r="J86" s="180"/>
      <c r="K86" s="180"/>
      <c r="L86" s="180"/>
      <c r="M86" s="180"/>
      <c r="N86" s="180"/>
      <c r="O86" s="180"/>
    </row>
    <row r="87" spans="1:15" ht="16" x14ac:dyDescent="0.2">
      <c r="A87" s="180" t="s">
        <v>451</v>
      </c>
      <c r="B87" s="180">
        <v>113</v>
      </c>
      <c r="C87" s="180" t="s">
        <v>532</v>
      </c>
      <c r="D87" s="180" t="s">
        <v>378</v>
      </c>
      <c r="E87" s="180">
        <v>1</v>
      </c>
      <c r="F87" s="180"/>
      <c r="G87" s="180" t="s">
        <v>533</v>
      </c>
      <c r="H87" s="180" t="s">
        <v>376</v>
      </c>
      <c r="I87" s="180"/>
      <c r="J87" s="180"/>
      <c r="K87" s="180"/>
      <c r="L87" s="180"/>
      <c r="M87" s="180"/>
      <c r="N87" s="180"/>
      <c r="O87" s="180"/>
    </row>
    <row r="88" spans="1:15" ht="16" x14ac:dyDescent="0.2">
      <c r="A88" s="180" t="s">
        <v>333</v>
      </c>
      <c r="B88" s="180">
        <v>114</v>
      </c>
      <c r="C88" s="180" t="s">
        <v>534</v>
      </c>
      <c r="D88" s="180" t="s">
        <v>378</v>
      </c>
      <c r="E88" s="180">
        <v>1</v>
      </c>
      <c r="F88" s="180"/>
      <c r="G88" s="180" t="s">
        <v>535</v>
      </c>
      <c r="H88" s="180" t="s">
        <v>376</v>
      </c>
      <c r="I88" s="180"/>
      <c r="J88" s="180"/>
      <c r="K88" s="180"/>
      <c r="L88" s="180"/>
      <c r="M88" s="180"/>
      <c r="N88" s="180"/>
      <c r="O88" s="180"/>
    </row>
    <row r="89" spans="1:15" ht="16" x14ac:dyDescent="0.2">
      <c r="A89" s="180" t="s">
        <v>333</v>
      </c>
      <c r="B89" s="180">
        <v>115</v>
      </c>
      <c r="C89" s="180" t="s">
        <v>536</v>
      </c>
      <c r="D89" s="180" t="s">
        <v>342</v>
      </c>
      <c r="E89" s="180">
        <v>2</v>
      </c>
      <c r="F89" s="180"/>
      <c r="G89" s="180" t="s">
        <v>537</v>
      </c>
      <c r="H89" s="180" t="s">
        <v>376</v>
      </c>
      <c r="I89" s="180"/>
      <c r="J89" s="180"/>
      <c r="K89" s="180"/>
      <c r="L89" s="180"/>
      <c r="M89" s="180"/>
      <c r="N89" s="180"/>
      <c r="O89" s="180"/>
    </row>
    <row r="90" spans="1:15" ht="16" x14ac:dyDescent="0.2">
      <c r="A90" s="180" t="s">
        <v>451</v>
      </c>
      <c r="B90" s="180">
        <v>116</v>
      </c>
      <c r="C90" s="180" t="s">
        <v>538</v>
      </c>
      <c r="D90" s="180" t="s">
        <v>342</v>
      </c>
      <c r="E90" s="180">
        <v>2</v>
      </c>
      <c r="F90" s="180"/>
      <c r="G90" s="180" t="s">
        <v>539</v>
      </c>
      <c r="H90" s="180" t="s">
        <v>376</v>
      </c>
      <c r="I90" s="180"/>
      <c r="J90" s="180"/>
      <c r="K90" s="180"/>
      <c r="L90" s="180"/>
      <c r="M90" s="180"/>
      <c r="N90" s="180"/>
      <c r="O90" s="180"/>
    </row>
    <row r="91" spans="1:15" ht="16" x14ac:dyDescent="0.2">
      <c r="A91" s="180" t="s">
        <v>333</v>
      </c>
      <c r="B91" s="180">
        <v>117</v>
      </c>
      <c r="C91" s="180" t="s">
        <v>540</v>
      </c>
      <c r="D91" s="180" t="s">
        <v>541</v>
      </c>
      <c r="E91" s="180">
        <v>6</v>
      </c>
      <c r="F91" s="180"/>
      <c r="G91" s="180" t="s">
        <v>542</v>
      </c>
      <c r="H91" s="180" t="s">
        <v>376</v>
      </c>
      <c r="I91" s="180"/>
      <c r="J91" s="180"/>
      <c r="K91" s="180"/>
      <c r="L91" s="180"/>
      <c r="M91" s="180"/>
      <c r="N91" s="180"/>
      <c r="O91" s="180"/>
    </row>
    <row r="92" spans="1:15" ht="16" x14ac:dyDescent="0.2">
      <c r="A92" s="180" t="s">
        <v>333</v>
      </c>
      <c r="B92" s="180">
        <v>118</v>
      </c>
      <c r="C92" s="180" t="s">
        <v>543</v>
      </c>
      <c r="D92" s="180" t="s">
        <v>544</v>
      </c>
      <c r="E92" s="180">
        <v>7</v>
      </c>
      <c r="F92" s="180"/>
      <c r="G92" s="180" t="s">
        <v>545</v>
      </c>
      <c r="H92" s="180" t="s">
        <v>376</v>
      </c>
      <c r="I92" s="180"/>
      <c r="J92" s="180"/>
      <c r="K92" s="180"/>
      <c r="L92" s="180"/>
      <c r="M92" s="180"/>
      <c r="N92" s="180"/>
      <c r="O92" s="180"/>
    </row>
    <row r="93" spans="1:15" ht="16" x14ac:dyDescent="0.2">
      <c r="A93" s="180" t="s">
        <v>333</v>
      </c>
      <c r="B93" s="180">
        <v>119</v>
      </c>
      <c r="C93" s="180" t="s">
        <v>546</v>
      </c>
      <c r="D93" s="180" t="s">
        <v>544</v>
      </c>
      <c r="E93" s="180">
        <v>7</v>
      </c>
      <c r="F93" s="180"/>
      <c r="G93" s="180" t="s">
        <v>547</v>
      </c>
      <c r="H93" s="180" t="s">
        <v>376</v>
      </c>
      <c r="I93" s="180" t="s">
        <v>1838</v>
      </c>
      <c r="J93" s="180"/>
      <c r="K93" s="180"/>
      <c r="L93" s="180"/>
      <c r="M93" s="180"/>
      <c r="N93" s="180"/>
      <c r="O93" s="180"/>
    </row>
    <row r="94" spans="1:15" ht="16" x14ac:dyDescent="0.2">
      <c r="A94" s="180" t="s">
        <v>451</v>
      </c>
      <c r="B94" s="180">
        <v>120</v>
      </c>
      <c r="C94" s="180" t="s">
        <v>548</v>
      </c>
      <c r="D94" s="180" t="s">
        <v>378</v>
      </c>
      <c r="E94" s="180">
        <v>1</v>
      </c>
      <c r="F94" s="180"/>
      <c r="G94" s="180" t="s">
        <v>549</v>
      </c>
      <c r="H94" s="180" t="s">
        <v>376</v>
      </c>
      <c r="I94" s="180"/>
      <c r="J94" s="180"/>
      <c r="K94" s="180"/>
      <c r="L94" s="180"/>
      <c r="M94" s="180"/>
      <c r="N94" s="180"/>
      <c r="O94" s="180"/>
    </row>
    <row r="95" spans="1:15" ht="16" x14ac:dyDescent="0.2">
      <c r="A95" s="180" t="s">
        <v>451</v>
      </c>
      <c r="B95" s="180">
        <v>121</v>
      </c>
      <c r="C95" s="180" t="s">
        <v>550</v>
      </c>
      <c r="D95" s="180" t="s">
        <v>342</v>
      </c>
      <c r="E95" s="180">
        <v>2</v>
      </c>
      <c r="F95" s="180"/>
      <c r="G95" s="180" t="s">
        <v>551</v>
      </c>
      <c r="H95" s="180" t="s">
        <v>376</v>
      </c>
      <c r="I95" s="180"/>
      <c r="J95" s="180"/>
      <c r="K95" s="180"/>
      <c r="L95" s="180"/>
      <c r="M95" s="180"/>
      <c r="N95" s="180"/>
      <c r="O95" s="180"/>
    </row>
    <row r="96" spans="1:15" ht="16" x14ac:dyDescent="0.2">
      <c r="A96" s="180" t="s">
        <v>451</v>
      </c>
      <c r="B96" s="180">
        <v>122</v>
      </c>
      <c r="C96" s="180" t="s">
        <v>552</v>
      </c>
      <c r="D96" s="180" t="s">
        <v>378</v>
      </c>
      <c r="E96" s="180">
        <v>1</v>
      </c>
      <c r="F96" s="180"/>
      <c r="G96" s="180" t="s">
        <v>553</v>
      </c>
      <c r="H96" s="180" t="s">
        <v>376</v>
      </c>
      <c r="I96" s="180"/>
      <c r="J96" s="180"/>
      <c r="K96" s="180"/>
      <c r="L96" s="180"/>
      <c r="M96" s="180"/>
      <c r="N96" s="180"/>
      <c r="O96" s="180"/>
    </row>
    <row r="97" spans="1:15" ht="16" x14ac:dyDescent="0.2">
      <c r="A97" s="180" t="s">
        <v>329</v>
      </c>
      <c r="B97" s="180">
        <v>123</v>
      </c>
      <c r="C97" s="180" t="s">
        <v>354</v>
      </c>
      <c r="D97" s="180" t="s">
        <v>355</v>
      </c>
      <c r="E97" s="180">
        <v>-94</v>
      </c>
      <c r="F97" s="180"/>
      <c r="G97" s="180" t="s">
        <v>356</v>
      </c>
      <c r="H97" s="180" t="s">
        <v>376</v>
      </c>
      <c r="I97" s="180"/>
      <c r="J97" s="170" t="s">
        <v>1822</v>
      </c>
      <c r="K97" s="180"/>
      <c r="L97" s="180"/>
      <c r="M97" s="180"/>
      <c r="N97" s="180"/>
      <c r="O97" s="180"/>
    </row>
    <row r="98" spans="1:15" ht="16" x14ac:dyDescent="0.2">
      <c r="A98" s="180" t="s">
        <v>333</v>
      </c>
      <c r="B98" s="180">
        <v>123</v>
      </c>
      <c r="C98" s="180" t="s">
        <v>554</v>
      </c>
      <c r="D98" s="180" t="s">
        <v>344</v>
      </c>
      <c r="E98" s="180"/>
      <c r="F98" s="180"/>
      <c r="G98" s="180" t="s">
        <v>555</v>
      </c>
      <c r="H98" s="180" t="s">
        <v>376</v>
      </c>
      <c r="I98" s="180"/>
      <c r="J98" s="180"/>
      <c r="K98" s="180"/>
      <c r="L98" s="180"/>
      <c r="M98" s="180"/>
      <c r="N98" s="180"/>
      <c r="O98" s="180"/>
    </row>
    <row r="99" spans="1:15" ht="16" x14ac:dyDescent="0.2">
      <c r="A99" s="180" t="s">
        <v>333</v>
      </c>
      <c r="B99" s="180">
        <v>124</v>
      </c>
      <c r="C99" s="180" t="s">
        <v>556</v>
      </c>
      <c r="D99" s="181" t="s">
        <v>1883</v>
      </c>
      <c r="E99" s="180">
        <v>51</v>
      </c>
      <c r="F99" s="195">
        <f>MIN(Tables12!N13:U13)</f>
        <v>0.50520968582425907</v>
      </c>
      <c r="G99" s="180" t="s">
        <v>557</v>
      </c>
      <c r="H99" s="180" t="s">
        <v>376</v>
      </c>
      <c r="I99" s="180"/>
      <c r="J99" s="180"/>
      <c r="K99" s="180"/>
      <c r="L99" s="180"/>
      <c r="M99" s="180"/>
      <c r="N99" s="180"/>
      <c r="O99" s="180"/>
    </row>
    <row r="100" spans="1:15" ht="16" x14ac:dyDescent="0.2">
      <c r="A100" s="180" t="s">
        <v>333</v>
      </c>
      <c r="B100" s="180">
        <v>125</v>
      </c>
      <c r="C100" s="180" t="s">
        <v>558</v>
      </c>
      <c r="D100" s="181" t="s">
        <v>1884</v>
      </c>
      <c r="E100" s="180">
        <v>-100</v>
      </c>
      <c r="F100" s="195">
        <f>MAX(Tables12!N13:U13)</f>
        <v>0.99660950023697126</v>
      </c>
      <c r="G100" s="180" t="s">
        <v>559</v>
      </c>
      <c r="H100" s="180" t="s">
        <v>376</v>
      </c>
      <c r="I100" s="180"/>
      <c r="J100" s="180"/>
      <c r="K100" s="180"/>
      <c r="L100" s="180"/>
      <c r="M100" s="180"/>
      <c r="N100" s="180"/>
      <c r="O100" s="180"/>
    </row>
    <row r="101" spans="1:15" ht="16" x14ac:dyDescent="0.2">
      <c r="A101" s="180" t="s">
        <v>333</v>
      </c>
      <c r="B101" s="180">
        <v>126</v>
      </c>
      <c r="C101" s="180" t="s">
        <v>560</v>
      </c>
      <c r="D101" s="181" t="s">
        <v>568</v>
      </c>
      <c r="E101" s="180">
        <v>16</v>
      </c>
      <c r="F101" s="195">
        <f>MIN(Tables12!N14:U14)</f>
        <v>0.16282662330096556</v>
      </c>
      <c r="G101" s="180" t="s">
        <v>562</v>
      </c>
      <c r="H101" s="180" t="s">
        <v>376</v>
      </c>
      <c r="I101" s="180"/>
      <c r="J101" s="180"/>
      <c r="K101" s="180"/>
      <c r="L101" s="180"/>
      <c r="M101" s="180"/>
      <c r="N101" s="180"/>
      <c r="O101" s="180"/>
    </row>
    <row r="102" spans="1:15" ht="16" x14ac:dyDescent="0.2">
      <c r="A102" s="180" t="s">
        <v>333</v>
      </c>
      <c r="B102" s="180">
        <v>127</v>
      </c>
      <c r="C102" s="180" t="s">
        <v>563</v>
      </c>
      <c r="D102" s="181" t="s">
        <v>1885</v>
      </c>
      <c r="E102" s="180">
        <v>-32</v>
      </c>
      <c r="F102" s="195">
        <f>MAX(Tables12!N14:U14)</f>
        <v>0.32120239224728026</v>
      </c>
      <c r="G102" s="180" t="s">
        <v>564</v>
      </c>
      <c r="H102" s="180" t="s">
        <v>376</v>
      </c>
      <c r="I102" s="180"/>
      <c r="J102" s="180"/>
      <c r="K102" s="180"/>
      <c r="L102" s="180"/>
      <c r="M102" s="180"/>
      <c r="N102" s="180"/>
      <c r="O102" s="180"/>
    </row>
    <row r="103" spans="1:15" ht="16" x14ac:dyDescent="0.2">
      <c r="A103" s="180" t="s">
        <v>333</v>
      </c>
      <c r="B103" s="180">
        <v>128</v>
      </c>
      <c r="C103" s="180" t="s">
        <v>565</v>
      </c>
      <c r="D103" s="180" t="s">
        <v>338</v>
      </c>
      <c r="E103" s="180">
        <v>31</v>
      </c>
      <c r="F103" s="185">
        <f>E73</f>
        <v>31</v>
      </c>
      <c r="G103" s="180" t="s">
        <v>566</v>
      </c>
      <c r="H103" s="180" t="s">
        <v>376</v>
      </c>
      <c r="I103" s="180"/>
      <c r="J103" s="180"/>
      <c r="K103" s="180"/>
      <c r="L103" s="180"/>
      <c r="M103" s="180"/>
      <c r="N103" s="180"/>
      <c r="O103" s="180"/>
    </row>
    <row r="104" spans="1:15" ht="16" x14ac:dyDescent="0.2">
      <c r="A104" s="180" t="s">
        <v>333</v>
      </c>
      <c r="B104" s="180">
        <v>129</v>
      </c>
      <c r="C104" s="180" t="s">
        <v>567</v>
      </c>
      <c r="D104" s="180" t="s">
        <v>568</v>
      </c>
      <c r="E104" s="180">
        <v>16</v>
      </c>
      <c r="F104" s="185">
        <f>F99*F$103</f>
        <v>15.661500260552032</v>
      </c>
      <c r="G104" s="180" t="s">
        <v>569</v>
      </c>
      <c r="H104" s="180" t="s">
        <v>376</v>
      </c>
      <c r="I104" s="180"/>
      <c r="J104" s="180"/>
      <c r="K104" s="180"/>
      <c r="L104" s="180"/>
      <c r="M104" s="180"/>
      <c r="N104" s="180"/>
      <c r="O104" s="180"/>
    </row>
    <row r="105" spans="1:15" ht="16" x14ac:dyDescent="0.2">
      <c r="A105" s="180" t="s">
        <v>333</v>
      </c>
      <c r="B105" s="180">
        <v>130</v>
      </c>
      <c r="C105" s="180" t="s">
        <v>570</v>
      </c>
      <c r="D105" s="181" t="s">
        <v>1886</v>
      </c>
      <c r="E105" s="180">
        <v>-31</v>
      </c>
      <c r="F105" s="185">
        <f>F100*F$103</f>
        <v>30.894894507346109</v>
      </c>
      <c r="G105" s="180" t="s">
        <v>571</v>
      </c>
      <c r="H105" s="180" t="s">
        <v>376</v>
      </c>
      <c r="I105" s="180"/>
      <c r="J105" s="180"/>
      <c r="K105" s="180"/>
      <c r="L105" s="180"/>
      <c r="M105" s="180"/>
      <c r="N105" s="180"/>
      <c r="O105" s="180"/>
    </row>
    <row r="106" spans="1:15" ht="16" x14ac:dyDescent="0.2">
      <c r="A106" s="180" t="s">
        <v>333</v>
      </c>
      <c r="B106" s="180">
        <v>131</v>
      </c>
      <c r="C106" s="180" t="s">
        <v>572</v>
      </c>
      <c r="D106" s="180" t="s">
        <v>573</v>
      </c>
      <c r="E106" s="180">
        <v>84</v>
      </c>
      <c r="F106" s="180"/>
      <c r="G106" s="180" t="s">
        <v>574</v>
      </c>
      <c r="H106" s="180" t="s">
        <v>376</v>
      </c>
      <c r="I106" s="180"/>
      <c r="J106" s="180"/>
      <c r="K106" s="180"/>
      <c r="L106" s="180"/>
      <c r="M106" s="180"/>
      <c r="N106" s="180"/>
      <c r="O106" s="180"/>
    </row>
    <row r="107" spans="1:15" ht="16" x14ac:dyDescent="0.2">
      <c r="A107" s="180" t="s">
        <v>329</v>
      </c>
      <c r="B107" s="180">
        <v>131</v>
      </c>
      <c r="C107" s="180" t="s">
        <v>790</v>
      </c>
      <c r="D107" s="180" t="s">
        <v>378</v>
      </c>
      <c r="E107" s="180">
        <v>1</v>
      </c>
      <c r="F107" s="180"/>
      <c r="G107" s="180" t="s">
        <v>389</v>
      </c>
      <c r="H107" s="180" t="s">
        <v>376</v>
      </c>
      <c r="I107" s="180"/>
      <c r="J107" s="180"/>
      <c r="K107" s="180"/>
      <c r="L107" s="180"/>
      <c r="M107" s="180"/>
      <c r="N107" s="180"/>
      <c r="O107" s="180"/>
    </row>
    <row r="108" spans="1:15" ht="16" x14ac:dyDescent="0.2">
      <c r="A108" s="180" t="s">
        <v>333</v>
      </c>
      <c r="B108" s="180">
        <v>132</v>
      </c>
      <c r="C108" s="180" t="s">
        <v>575</v>
      </c>
      <c r="D108" s="180" t="s">
        <v>576</v>
      </c>
      <c r="E108" s="180">
        <v>2360</v>
      </c>
      <c r="F108" s="180"/>
      <c r="G108" s="180" t="s">
        <v>577</v>
      </c>
      <c r="H108" s="180" t="s">
        <v>376</v>
      </c>
      <c r="I108" s="180"/>
      <c r="J108" s="180"/>
      <c r="K108" s="180"/>
      <c r="L108" s="180"/>
      <c r="M108" s="180"/>
      <c r="N108" s="180"/>
      <c r="O108" s="180"/>
    </row>
    <row r="109" spans="1:15" ht="16" x14ac:dyDescent="0.2">
      <c r="A109" s="180" t="s">
        <v>333</v>
      </c>
      <c r="B109" s="180">
        <v>133</v>
      </c>
      <c r="C109" s="180" t="s">
        <v>578</v>
      </c>
      <c r="D109" s="180" t="s">
        <v>579</v>
      </c>
      <c r="E109" s="180">
        <v>2017</v>
      </c>
      <c r="F109" s="180"/>
      <c r="G109" s="180" t="s">
        <v>580</v>
      </c>
      <c r="H109" s="180" t="s">
        <v>376</v>
      </c>
      <c r="I109" s="180"/>
      <c r="J109" s="180"/>
      <c r="K109" s="180"/>
      <c r="L109" s="180"/>
      <c r="M109" s="180"/>
      <c r="N109" s="180"/>
      <c r="O109" s="180"/>
    </row>
    <row r="110" spans="1:15" ht="16" x14ac:dyDescent="0.2">
      <c r="A110" s="180" t="s">
        <v>451</v>
      </c>
      <c r="B110" s="180">
        <v>134</v>
      </c>
      <c r="C110" s="180" t="s">
        <v>581</v>
      </c>
      <c r="D110" s="180" t="s">
        <v>582</v>
      </c>
      <c r="E110" s="180">
        <v>14</v>
      </c>
      <c r="F110" s="180"/>
      <c r="G110" s="180" t="s">
        <v>583</v>
      </c>
      <c r="H110" s="180" t="s">
        <v>376</v>
      </c>
      <c r="I110" s="180"/>
      <c r="J110" s="180" t="s">
        <v>1839</v>
      </c>
      <c r="K110" s="180"/>
      <c r="L110" s="180"/>
      <c r="M110" s="180"/>
      <c r="N110" s="180"/>
      <c r="O110" s="180"/>
    </row>
    <row r="111" spans="1:15" ht="16" x14ac:dyDescent="0.2">
      <c r="A111" s="180" t="s">
        <v>333</v>
      </c>
      <c r="B111" s="180">
        <v>135</v>
      </c>
      <c r="C111" s="180" t="s">
        <v>584</v>
      </c>
      <c r="D111" s="180" t="s">
        <v>585</v>
      </c>
      <c r="E111" s="180">
        <v>-9</v>
      </c>
      <c r="F111" s="180"/>
      <c r="G111" s="180" t="s">
        <v>586</v>
      </c>
      <c r="H111" s="180" t="s">
        <v>376</v>
      </c>
      <c r="I111" s="180"/>
      <c r="J111" s="180"/>
      <c r="K111" s="180"/>
      <c r="L111" s="180"/>
      <c r="M111" s="180"/>
      <c r="N111" s="180"/>
      <c r="O111" s="180"/>
    </row>
    <row r="112" spans="1:15" ht="16" x14ac:dyDescent="0.2">
      <c r="A112" s="180" t="s">
        <v>333</v>
      </c>
      <c r="B112" s="180">
        <v>138</v>
      </c>
      <c r="C112" s="180" t="s">
        <v>589</v>
      </c>
      <c r="D112" s="180" t="s">
        <v>590</v>
      </c>
      <c r="E112" s="180">
        <v>80</v>
      </c>
      <c r="F112" s="180"/>
      <c r="G112" s="180" t="s">
        <v>591</v>
      </c>
      <c r="H112" s="180" t="s">
        <v>376</v>
      </c>
      <c r="I112" s="180"/>
      <c r="J112" s="180"/>
      <c r="K112" s="180"/>
      <c r="L112" s="180"/>
      <c r="M112" s="180"/>
      <c r="N112" s="180"/>
      <c r="O112" s="180"/>
    </row>
    <row r="113" spans="1:15" ht="16" x14ac:dyDescent="0.2">
      <c r="A113" s="180" t="s">
        <v>333</v>
      </c>
      <c r="B113" s="180">
        <v>139</v>
      </c>
      <c r="C113" s="180" t="s">
        <v>592</v>
      </c>
      <c r="D113" s="180" t="s">
        <v>364</v>
      </c>
      <c r="E113" s="180">
        <v>1</v>
      </c>
      <c r="F113" s="180"/>
      <c r="G113" s="180" t="s">
        <v>593</v>
      </c>
      <c r="H113" s="180" t="s">
        <v>376</v>
      </c>
      <c r="I113" s="180" t="s">
        <v>1840</v>
      </c>
      <c r="J113" s="180"/>
      <c r="K113" s="180"/>
      <c r="L113" s="180"/>
      <c r="M113" s="180"/>
      <c r="N113" s="180"/>
      <c r="O113" s="180"/>
    </row>
    <row r="114" spans="1:15" ht="16" x14ac:dyDescent="0.2">
      <c r="A114" s="180" t="s">
        <v>333</v>
      </c>
      <c r="B114" s="180">
        <v>140</v>
      </c>
      <c r="C114" s="180" t="s">
        <v>594</v>
      </c>
      <c r="D114" s="180" t="s">
        <v>364</v>
      </c>
      <c r="E114" s="180">
        <v>1</v>
      </c>
      <c r="F114" s="180"/>
      <c r="G114" s="180" t="s">
        <v>595</v>
      </c>
      <c r="H114" s="180" t="s">
        <v>376</v>
      </c>
      <c r="I114" s="180"/>
      <c r="J114" s="180"/>
      <c r="K114" s="180"/>
      <c r="L114" s="180"/>
      <c r="M114" s="180"/>
      <c r="N114" s="180"/>
      <c r="O114" s="180"/>
    </row>
    <row r="115" spans="1:15" ht="16" x14ac:dyDescent="0.2">
      <c r="A115" s="180" t="s">
        <v>333</v>
      </c>
      <c r="B115" s="180">
        <v>141</v>
      </c>
      <c r="C115" s="180" t="s">
        <v>596</v>
      </c>
      <c r="D115" s="180" t="s">
        <v>573</v>
      </c>
      <c r="E115" s="180">
        <v>84</v>
      </c>
      <c r="F115" s="180"/>
      <c r="G115" s="180" t="s">
        <v>597</v>
      </c>
      <c r="H115" s="180" t="s">
        <v>376</v>
      </c>
      <c r="I115" s="180"/>
      <c r="J115" s="180"/>
      <c r="K115" s="180"/>
      <c r="L115" s="180"/>
      <c r="M115" s="180"/>
      <c r="N115" s="180"/>
      <c r="O115" s="180"/>
    </row>
    <row r="116" spans="1:15" ht="16" x14ac:dyDescent="0.2">
      <c r="A116" s="180" t="s">
        <v>329</v>
      </c>
      <c r="B116" s="180">
        <v>141</v>
      </c>
      <c r="C116" s="180" t="s">
        <v>804</v>
      </c>
      <c r="D116" s="180" t="s">
        <v>378</v>
      </c>
      <c r="E116" s="180">
        <v>1</v>
      </c>
      <c r="F116" s="180"/>
      <c r="G116" s="180" t="s">
        <v>805</v>
      </c>
      <c r="H116" s="180" t="s">
        <v>376</v>
      </c>
      <c r="I116" s="180"/>
      <c r="J116" s="180"/>
      <c r="K116" s="180"/>
      <c r="L116" s="180"/>
      <c r="M116" s="180"/>
      <c r="N116" s="180"/>
      <c r="O116" s="180"/>
    </row>
    <row r="117" spans="1:15" ht="16" x14ac:dyDescent="0.2">
      <c r="A117" s="180" t="s">
        <v>333</v>
      </c>
      <c r="B117" s="180">
        <v>142</v>
      </c>
      <c r="C117" s="180" t="s">
        <v>598</v>
      </c>
      <c r="D117" s="180" t="s">
        <v>576</v>
      </c>
      <c r="E117" s="180">
        <v>2360</v>
      </c>
      <c r="F117" s="180"/>
      <c r="G117" s="180" t="s">
        <v>599</v>
      </c>
      <c r="H117" s="180" t="s">
        <v>376</v>
      </c>
      <c r="I117" s="180"/>
      <c r="J117" s="180"/>
      <c r="K117" s="180"/>
      <c r="L117" s="180"/>
      <c r="M117" s="180"/>
      <c r="N117" s="180"/>
      <c r="O117" s="180"/>
    </row>
    <row r="118" spans="1:15" ht="16" x14ac:dyDescent="0.2">
      <c r="A118" s="180" t="s">
        <v>329</v>
      </c>
      <c r="B118" s="180">
        <v>142</v>
      </c>
      <c r="C118" s="180" t="s">
        <v>1055</v>
      </c>
      <c r="D118" s="180" t="s">
        <v>342</v>
      </c>
      <c r="E118" s="180">
        <v>2</v>
      </c>
      <c r="F118" s="180"/>
      <c r="G118" s="180" t="s">
        <v>1056</v>
      </c>
      <c r="H118" s="180" t="s">
        <v>376</v>
      </c>
      <c r="I118" s="180"/>
      <c r="J118" s="180"/>
      <c r="K118" s="180"/>
      <c r="L118" s="180"/>
      <c r="M118" s="180"/>
      <c r="N118" s="180"/>
      <c r="O118" s="180"/>
    </row>
    <row r="119" spans="1:15" ht="16" x14ac:dyDescent="0.2">
      <c r="A119" s="180" t="s">
        <v>333</v>
      </c>
      <c r="B119" s="180">
        <v>143</v>
      </c>
      <c r="C119" s="180" t="s">
        <v>600</v>
      </c>
      <c r="D119" s="180" t="s">
        <v>601</v>
      </c>
      <c r="E119" s="180">
        <v>2019</v>
      </c>
      <c r="F119" s="180"/>
      <c r="G119" s="180" t="s">
        <v>602</v>
      </c>
      <c r="H119" s="180" t="s">
        <v>376</v>
      </c>
      <c r="I119" s="180"/>
      <c r="J119" s="180"/>
      <c r="K119" s="180"/>
      <c r="L119" s="180"/>
      <c r="M119" s="180"/>
      <c r="N119" s="180"/>
      <c r="O119" s="180"/>
    </row>
    <row r="120" spans="1:15" ht="16" x14ac:dyDescent="0.2">
      <c r="A120" s="180" t="s">
        <v>333</v>
      </c>
      <c r="B120" s="180">
        <v>144</v>
      </c>
      <c r="C120" s="180" t="s">
        <v>603</v>
      </c>
      <c r="D120" s="180" t="s">
        <v>347</v>
      </c>
      <c r="E120" s="180">
        <v>2</v>
      </c>
      <c r="F120" s="180"/>
      <c r="G120" s="180" t="s">
        <v>604</v>
      </c>
      <c r="H120" s="180" t="s">
        <v>376</v>
      </c>
      <c r="I120" s="180" t="s">
        <v>1841</v>
      </c>
      <c r="J120" s="180"/>
      <c r="K120" s="180"/>
      <c r="L120" s="180"/>
      <c r="M120" s="180"/>
      <c r="N120" s="180"/>
      <c r="O120" s="180"/>
    </row>
    <row r="121" spans="1:15" ht="16" x14ac:dyDescent="0.2">
      <c r="A121" s="180" t="s">
        <v>329</v>
      </c>
      <c r="B121" s="180">
        <v>144</v>
      </c>
      <c r="C121" s="180" t="s">
        <v>811</v>
      </c>
      <c r="D121" s="180" t="s">
        <v>378</v>
      </c>
      <c r="E121" s="180">
        <v>1</v>
      </c>
      <c r="F121" s="180"/>
      <c r="G121" s="180" t="s">
        <v>812</v>
      </c>
      <c r="H121" s="180" t="s">
        <v>376</v>
      </c>
      <c r="I121" s="180"/>
      <c r="J121" s="180"/>
      <c r="K121" s="180"/>
      <c r="L121" s="180"/>
      <c r="M121" s="180"/>
      <c r="N121" s="180"/>
      <c r="O121" s="180"/>
    </row>
    <row r="122" spans="1:15" ht="16" x14ac:dyDescent="0.2">
      <c r="A122" s="180" t="s">
        <v>451</v>
      </c>
      <c r="B122" s="180">
        <v>145</v>
      </c>
      <c r="C122" s="180" t="s">
        <v>605</v>
      </c>
      <c r="D122" s="180" t="s">
        <v>342</v>
      </c>
      <c r="E122" s="180">
        <v>2</v>
      </c>
      <c r="F122" s="180"/>
      <c r="G122" s="180" t="s">
        <v>606</v>
      </c>
      <c r="H122" s="180" t="s">
        <v>376</v>
      </c>
      <c r="I122" s="180"/>
      <c r="J122" s="180"/>
      <c r="K122" s="180"/>
      <c r="L122" s="180"/>
      <c r="M122" s="180"/>
      <c r="N122" s="180"/>
      <c r="O122" s="180"/>
    </row>
    <row r="123" spans="1:15" ht="16" x14ac:dyDescent="0.2">
      <c r="A123" s="180" t="s">
        <v>451</v>
      </c>
      <c r="B123" s="180">
        <v>146</v>
      </c>
      <c r="C123" s="180" t="s">
        <v>607</v>
      </c>
      <c r="D123" s="180" t="s">
        <v>378</v>
      </c>
      <c r="E123" s="180">
        <v>1</v>
      </c>
      <c r="F123" s="180"/>
      <c r="G123" s="180" t="s">
        <v>511</v>
      </c>
      <c r="H123" s="180" t="s">
        <v>376</v>
      </c>
      <c r="I123" s="180"/>
      <c r="J123" s="180"/>
      <c r="K123" s="180"/>
      <c r="L123" s="180"/>
      <c r="M123" s="180"/>
      <c r="N123" s="180"/>
      <c r="O123" s="180"/>
    </row>
    <row r="124" spans="1:15" ht="16" x14ac:dyDescent="0.2">
      <c r="A124" s="180" t="s">
        <v>333</v>
      </c>
      <c r="B124" s="180">
        <v>147</v>
      </c>
      <c r="C124" s="180" t="s">
        <v>608</v>
      </c>
      <c r="D124" s="180" t="s">
        <v>347</v>
      </c>
      <c r="E124" s="180">
        <v>2</v>
      </c>
      <c r="F124" s="180"/>
      <c r="G124" s="180" t="s">
        <v>609</v>
      </c>
      <c r="H124" s="180" t="s">
        <v>376</v>
      </c>
      <c r="I124" s="180" t="s">
        <v>1842</v>
      </c>
      <c r="J124" s="180"/>
      <c r="K124" s="180"/>
      <c r="L124" s="180"/>
      <c r="M124" s="180"/>
      <c r="N124" s="180"/>
      <c r="O124" s="180"/>
    </row>
    <row r="125" spans="1:15" ht="16" x14ac:dyDescent="0.2">
      <c r="A125" s="180" t="s">
        <v>333</v>
      </c>
      <c r="B125" s="180">
        <v>150</v>
      </c>
      <c r="C125" s="180" t="s">
        <v>614</v>
      </c>
      <c r="D125" s="181" t="s">
        <v>497</v>
      </c>
      <c r="E125" s="180">
        <v>3</v>
      </c>
      <c r="F125" s="183">
        <f>MIN(Tables12!C26,Tables12!F26,Tables12!I26)</f>
        <v>2.8340612009522939E-2</v>
      </c>
      <c r="G125" s="180" t="s">
        <v>615</v>
      </c>
      <c r="H125" s="180" t="s">
        <v>376</v>
      </c>
      <c r="I125" s="180"/>
      <c r="J125" s="180"/>
      <c r="K125" s="180"/>
      <c r="L125" s="180"/>
      <c r="M125" s="180"/>
      <c r="N125" s="180"/>
      <c r="O125" s="180"/>
    </row>
    <row r="126" spans="1:15" ht="16" x14ac:dyDescent="0.2">
      <c r="A126" s="180" t="s">
        <v>333</v>
      </c>
      <c r="B126" s="180">
        <v>151</v>
      </c>
      <c r="C126" s="180" t="s">
        <v>616</v>
      </c>
      <c r="D126" s="181" t="s">
        <v>630</v>
      </c>
      <c r="E126" s="180">
        <v>9</v>
      </c>
      <c r="F126" s="183">
        <f>MAX(Tables12!C26,Tables12!F26,Tables12!I26)</f>
        <v>9.4555013950131314E-2</v>
      </c>
      <c r="G126" s="180" t="s">
        <v>617</v>
      </c>
      <c r="H126" s="180" t="s">
        <v>376</v>
      </c>
      <c r="J126" s="180"/>
      <c r="K126" s="180"/>
      <c r="L126" s="180"/>
      <c r="M126" s="180"/>
      <c r="N126" s="180"/>
      <c r="O126" s="180"/>
    </row>
    <row r="127" spans="1:15" ht="16" x14ac:dyDescent="0.2">
      <c r="A127" s="180" t="s">
        <v>451</v>
      </c>
      <c r="B127" s="180">
        <v>152</v>
      </c>
      <c r="C127" s="180" t="s">
        <v>618</v>
      </c>
      <c r="D127" s="180" t="s">
        <v>378</v>
      </c>
      <c r="E127" s="180">
        <v>1</v>
      </c>
      <c r="F127" s="180"/>
      <c r="G127" s="180" t="s">
        <v>619</v>
      </c>
      <c r="H127" s="180" t="s">
        <v>376</v>
      </c>
      <c r="J127" s="180"/>
      <c r="K127" s="180"/>
      <c r="L127" s="180"/>
      <c r="M127" s="180"/>
      <c r="N127" s="180"/>
      <c r="O127" s="180"/>
    </row>
    <row r="128" spans="1:15" ht="16" x14ac:dyDescent="0.2">
      <c r="A128" s="180" t="s">
        <v>333</v>
      </c>
      <c r="B128" s="180">
        <v>154</v>
      </c>
      <c r="C128" s="180" t="s">
        <v>622</v>
      </c>
      <c r="D128" s="180" t="s">
        <v>404</v>
      </c>
      <c r="E128" s="180">
        <v>30</v>
      </c>
      <c r="F128" s="183">
        <f>MIN(Tables12!C27,Tables12!F27,Tables12!I27)</f>
        <v>0.30180514209024545</v>
      </c>
      <c r="G128" s="180" t="s">
        <v>623</v>
      </c>
      <c r="H128" s="180" t="s">
        <v>376</v>
      </c>
      <c r="J128" s="180"/>
      <c r="K128" s="180"/>
      <c r="L128" s="180"/>
      <c r="M128" s="180"/>
      <c r="N128" s="180"/>
      <c r="O128" s="180"/>
    </row>
    <row r="129" spans="1:15" ht="16" x14ac:dyDescent="0.2">
      <c r="A129" s="180" t="s">
        <v>333</v>
      </c>
      <c r="B129" s="180">
        <v>155</v>
      </c>
      <c r="C129" s="180" t="s">
        <v>624</v>
      </c>
      <c r="D129" s="180" t="s">
        <v>625</v>
      </c>
      <c r="E129" s="180">
        <v>78</v>
      </c>
      <c r="F129" s="183">
        <f>MAX(Tables12!C27,Tables12!F27,Tables12!I27)</f>
        <v>0.78356016634360293</v>
      </c>
      <c r="G129" s="180" t="s">
        <v>626</v>
      </c>
      <c r="H129" s="180" t="s">
        <v>376</v>
      </c>
      <c r="J129" s="180"/>
      <c r="K129" s="180"/>
      <c r="L129" s="180"/>
      <c r="M129" s="180"/>
      <c r="N129" s="180"/>
      <c r="O129" s="180"/>
    </row>
    <row r="130" spans="1:15" ht="16" x14ac:dyDescent="0.2">
      <c r="A130" s="180" t="s">
        <v>333</v>
      </c>
      <c r="B130" s="180">
        <v>156</v>
      </c>
      <c r="C130" s="180" t="s">
        <v>627</v>
      </c>
      <c r="D130" s="180" t="s">
        <v>338</v>
      </c>
      <c r="E130" s="180">
        <v>31</v>
      </c>
      <c r="F130" s="180">
        <f>E103</f>
        <v>31</v>
      </c>
      <c r="G130" s="180" t="s">
        <v>628</v>
      </c>
      <c r="H130" s="180" t="s">
        <v>376</v>
      </c>
      <c r="I130" s="180"/>
      <c r="J130" s="180"/>
      <c r="K130" s="180"/>
      <c r="L130" s="180"/>
      <c r="M130" s="180"/>
      <c r="N130" s="180"/>
      <c r="O130" s="180"/>
    </row>
    <row r="131" spans="1:15" ht="16" x14ac:dyDescent="0.2">
      <c r="A131" s="180" t="s">
        <v>333</v>
      </c>
      <c r="B131" s="180">
        <v>157</v>
      </c>
      <c r="C131" s="180" t="s">
        <v>629</v>
      </c>
      <c r="D131" s="180" t="s">
        <v>630</v>
      </c>
      <c r="E131" s="180">
        <v>9</v>
      </c>
      <c r="F131" s="187">
        <f>MIN(Tables12!C28,Tables12!F28,Tables12!I28)</f>
        <v>9.3559594047976091</v>
      </c>
      <c r="G131" s="180" t="s">
        <v>631</v>
      </c>
      <c r="H131" s="180" t="s">
        <v>376</v>
      </c>
      <c r="I131" s="180"/>
      <c r="J131" s="180"/>
      <c r="K131" s="180"/>
      <c r="L131" s="180"/>
      <c r="M131" s="180"/>
      <c r="N131" s="180"/>
      <c r="O131" s="180"/>
    </row>
    <row r="132" spans="1:15" ht="16" x14ac:dyDescent="0.2">
      <c r="A132" s="180" t="s">
        <v>333</v>
      </c>
      <c r="B132" s="180">
        <v>158</v>
      </c>
      <c r="C132" s="180" t="s">
        <v>632</v>
      </c>
      <c r="D132" s="180" t="s">
        <v>633</v>
      </c>
      <c r="E132" s="180">
        <v>24</v>
      </c>
      <c r="F132" s="188">
        <f>MAX(Tables12!C28,Tables12!F28,Tables12!I28)</f>
        <v>24.290365156651692</v>
      </c>
      <c r="G132" s="180" t="s">
        <v>634</v>
      </c>
      <c r="H132" s="180" t="s">
        <v>376</v>
      </c>
      <c r="I132" s="180"/>
      <c r="J132" s="180"/>
      <c r="K132" s="180"/>
      <c r="L132" s="180"/>
      <c r="M132" s="180"/>
      <c r="N132" s="180"/>
      <c r="O132" s="180"/>
    </row>
    <row r="133" spans="1:15" ht="16" x14ac:dyDescent="0.2">
      <c r="A133" s="180" t="s">
        <v>451</v>
      </c>
      <c r="B133" s="180">
        <v>160</v>
      </c>
      <c r="C133" s="180" t="s">
        <v>637</v>
      </c>
      <c r="D133" s="180" t="s">
        <v>378</v>
      </c>
      <c r="E133" s="180">
        <v>1</v>
      </c>
      <c r="F133" s="180"/>
      <c r="G133" s="180" t="s">
        <v>511</v>
      </c>
      <c r="H133" s="180" t="s">
        <v>376</v>
      </c>
      <c r="I133" s="180"/>
      <c r="J133" s="180"/>
      <c r="K133" s="180"/>
      <c r="L133" s="180"/>
      <c r="M133" s="180"/>
      <c r="N133" s="180"/>
      <c r="O133" s="180"/>
    </row>
    <row r="134" spans="1:15" ht="16" x14ac:dyDescent="0.2">
      <c r="A134" s="180" t="s">
        <v>451</v>
      </c>
      <c r="B134" s="180">
        <v>162</v>
      </c>
      <c r="C134" s="180" t="s">
        <v>638</v>
      </c>
      <c r="D134" s="180" t="s">
        <v>378</v>
      </c>
      <c r="E134" s="180">
        <v>1</v>
      </c>
      <c r="F134" s="180"/>
      <c r="G134" s="180" t="s">
        <v>639</v>
      </c>
      <c r="H134" s="180" t="s">
        <v>376</v>
      </c>
      <c r="I134" s="180"/>
      <c r="J134" s="180"/>
      <c r="K134" s="180"/>
      <c r="L134" s="180"/>
      <c r="M134" s="180"/>
      <c r="N134" s="180"/>
      <c r="O134" s="180"/>
    </row>
    <row r="135" spans="1:15" ht="16" x14ac:dyDescent="0.2">
      <c r="A135" s="180" t="s">
        <v>333</v>
      </c>
      <c r="B135" s="180">
        <v>163</v>
      </c>
      <c r="C135" s="180" t="s">
        <v>640</v>
      </c>
      <c r="D135" s="180" t="s">
        <v>641</v>
      </c>
      <c r="E135" s="180">
        <v>90</v>
      </c>
      <c r="F135" s="183">
        <f>BackgroundInfo1!$B$5</f>
        <v>0.9</v>
      </c>
      <c r="G135" s="180" t="s">
        <v>642</v>
      </c>
      <c r="H135" s="180" t="s">
        <v>376</v>
      </c>
      <c r="I135" s="180"/>
      <c r="J135" s="180"/>
      <c r="K135" s="180"/>
      <c r="L135" s="180"/>
      <c r="M135" s="180"/>
      <c r="N135" s="180"/>
      <c r="O135" s="180"/>
    </row>
    <row r="136" spans="1:15" ht="16" x14ac:dyDescent="0.2">
      <c r="A136" s="180" t="s">
        <v>333</v>
      </c>
      <c r="B136" s="180">
        <v>164</v>
      </c>
      <c r="C136" s="180" t="s">
        <v>643</v>
      </c>
      <c r="D136" s="180" t="s">
        <v>644</v>
      </c>
      <c r="E136" s="180">
        <v>60</v>
      </c>
      <c r="F136" s="189">
        <v>0.52104932526756631</v>
      </c>
      <c r="G136" s="180" t="s">
        <v>645</v>
      </c>
      <c r="H136" s="180" t="s">
        <v>376</v>
      </c>
      <c r="I136" s="181" t="s">
        <v>1843</v>
      </c>
      <c r="J136" s="180" t="s">
        <v>1844</v>
      </c>
      <c r="K136" s="180"/>
      <c r="L136" s="180"/>
      <c r="M136" s="180"/>
      <c r="N136" s="180"/>
      <c r="O136" s="180"/>
    </row>
    <row r="137" spans="1:15" ht="16" x14ac:dyDescent="0.2">
      <c r="A137" s="180" t="s">
        <v>333</v>
      </c>
      <c r="B137" s="180">
        <v>165</v>
      </c>
      <c r="C137" s="180" t="s">
        <v>646</v>
      </c>
      <c r="D137" s="180" t="s">
        <v>407</v>
      </c>
      <c r="E137" s="180">
        <v>10</v>
      </c>
      <c r="F137" s="190">
        <f>1-F135</f>
        <v>9.9999999999999978E-2</v>
      </c>
      <c r="G137" s="180" t="s">
        <v>647</v>
      </c>
      <c r="H137" s="180" t="s">
        <v>376</v>
      </c>
      <c r="I137" s="180"/>
      <c r="J137" s="180"/>
      <c r="K137" s="180"/>
      <c r="L137" s="180"/>
      <c r="M137" s="180"/>
      <c r="N137" s="180"/>
      <c r="O137" s="180"/>
    </row>
    <row r="138" spans="1:15" ht="16" x14ac:dyDescent="0.2">
      <c r="A138" s="180" t="s">
        <v>333</v>
      </c>
      <c r="B138" s="180">
        <v>166</v>
      </c>
      <c r="C138" s="180" t="s">
        <v>648</v>
      </c>
      <c r="D138" s="180" t="s">
        <v>649</v>
      </c>
      <c r="E138" s="180">
        <v>2013</v>
      </c>
      <c r="F138" s="180"/>
      <c r="G138" s="180" t="s">
        <v>389</v>
      </c>
      <c r="H138" s="180" t="s">
        <v>376</v>
      </c>
      <c r="I138" s="180"/>
      <c r="J138" s="180"/>
      <c r="K138" s="180"/>
      <c r="L138" s="180"/>
      <c r="M138" s="180"/>
      <c r="N138" s="180"/>
      <c r="O138" s="180"/>
    </row>
    <row r="139" spans="1:15" ht="16" x14ac:dyDescent="0.2">
      <c r="A139" s="180" t="s">
        <v>333</v>
      </c>
      <c r="B139" s="180">
        <v>168</v>
      </c>
      <c r="C139" s="180" t="s">
        <v>652</v>
      </c>
      <c r="D139" s="180" t="s">
        <v>653</v>
      </c>
      <c r="E139" s="180">
        <v>2012</v>
      </c>
      <c r="F139" s="180"/>
      <c r="G139" s="180" t="s">
        <v>389</v>
      </c>
      <c r="H139" s="180" t="s">
        <v>376</v>
      </c>
      <c r="I139" s="180"/>
      <c r="J139" s="180"/>
      <c r="K139" s="180"/>
      <c r="L139" s="180"/>
      <c r="M139" s="180"/>
      <c r="N139" s="180"/>
      <c r="O139" s="180"/>
    </row>
    <row r="140" spans="1:15" ht="16" x14ac:dyDescent="0.2">
      <c r="A140" s="180" t="s">
        <v>333</v>
      </c>
      <c r="B140" s="180">
        <v>169</v>
      </c>
      <c r="C140" s="180" t="s">
        <v>654</v>
      </c>
      <c r="D140" s="180" t="s">
        <v>655</v>
      </c>
      <c r="E140" s="180">
        <v>2021</v>
      </c>
      <c r="F140" s="180"/>
      <c r="G140" s="180" t="s">
        <v>656</v>
      </c>
      <c r="H140" s="180" t="s">
        <v>376</v>
      </c>
      <c r="I140" s="180"/>
      <c r="J140" s="180"/>
      <c r="K140" s="180"/>
      <c r="L140" s="180"/>
      <c r="M140" s="180"/>
      <c r="N140" s="180"/>
      <c r="O140" s="180"/>
    </row>
    <row r="141" spans="1:15" ht="16" x14ac:dyDescent="0.2">
      <c r="A141" s="180" t="s">
        <v>333</v>
      </c>
      <c r="B141" s="180">
        <v>170</v>
      </c>
      <c r="C141" s="180" t="s">
        <v>657</v>
      </c>
      <c r="D141" s="180" t="s">
        <v>655</v>
      </c>
      <c r="E141" s="180">
        <v>2021</v>
      </c>
      <c r="F141" s="180"/>
      <c r="G141" s="180" t="s">
        <v>658</v>
      </c>
      <c r="H141" s="180" t="s">
        <v>376</v>
      </c>
      <c r="I141" s="180"/>
      <c r="J141" s="180"/>
      <c r="K141" s="180"/>
      <c r="L141" s="180"/>
      <c r="M141" s="180"/>
      <c r="N141" s="180"/>
      <c r="O141" s="180"/>
    </row>
    <row r="142" spans="1:15" ht="16" x14ac:dyDescent="0.2">
      <c r="A142" s="180" t="s">
        <v>333</v>
      </c>
      <c r="B142" s="180">
        <v>171</v>
      </c>
      <c r="C142" s="180" t="s">
        <v>659</v>
      </c>
      <c r="D142" s="180" t="s">
        <v>660</v>
      </c>
      <c r="E142" s="180">
        <v>2022</v>
      </c>
      <c r="F142" s="180"/>
      <c r="G142" s="180"/>
      <c r="H142" s="180" t="s">
        <v>376</v>
      </c>
      <c r="I142" s="180"/>
      <c r="J142" s="180"/>
      <c r="K142" s="180"/>
      <c r="L142" s="180"/>
      <c r="M142" s="180"/>
      <c r="N142" s="180"/>
      <c r="O142" s="180"/>
    </row>
    <row r="143" spans="1:15" ht="16" x14ac:dyDescent="0.2">
      <c r="A143" s="180" t="s">
        <v>373</v>
      </c>
      <c r="B143" s="180">
        <v>172</v>
      </c>
      <c r="C143" s="180" t="s">
        <v>661</v>
      </c>
      <c r="D143" s="180" t="s">
        <v>378</v>
      </c>
      <c r="E143" s="180">
        <v>1</v>
      </c>
      <c r="F143" s="180"/>
      <c r="G143" s="180" t="s">
        <v>662</v>
      </c>
      <c r="H143" s="180" t="s">
        <v>376</v>
      </c>
      <c r="I143" s="180"/>
      <c r="J143" s="180"/>
      <c r="K143" s="180"/>
      <c r="L143" s="180"/>
      <c r="M143" s="180"/>
      <c r="N143" s="180"/>
      <c r="O143" s="180"/>
    </row>
    <row r="144" spans="1:15" ht="16" x14ac:dyDescent="0.2">
      <c r="A144" s="180" t="s">
        <v>333</v>
      </c>
      <c r="B144" s="180">
        <v>173</v>
      </c>
      <c r="C144" s="180" t="s">
        <v>663</v>
      </c>
      <c r="D144" s="180" t="s">
        <v>378</v>
      </c>
      <c r="E144" s="180">
        <v>1</v>
      </c>
      <c r="F144" s="180"/>
      <c r="G144" s="180" t="s">
        <v>664</v>
      </c>
      <c r="H144" s="180" t="s">
        <v>376</v>
      </c>
      <c r="I144" s="180"/>
      <c r="J144" s="180"/>
      <c r="K144" s="180"/>
      <c r="L144" s="180"/>
      <c r="M144" s="180"/>
      <c r="N144" s="180"/>
      <c r="O144" s="180"/>
    </row>
    <row r="145" spans="1:15" ht="16" x14ac:dyDescent="0.2">
      <c r="A145" s="180" t="s">
        <v>333</v>
      </c>
      <c r="B145" s="180">
        <v>174</v>
      </c>
      <c r="C145" s="180" t="s">
        <v>665</v>
      </c>
      <c r="D145" s="180" t="s">
        <v>378</v>
      </c>
      <c r="E145" s="180">
        <v>1</v>
      </c>
      <c r="F145" s="180"/>
      <c r="G145" s="180" t="s">
        <v>666</v>
      </c>
      <c r="H145" s="180" t="s">
        <v>376</v>
      </c>
      <c r="I145" s="180"/>
      <c r="J145" s="180"/>
      <c r="K145" s="180"/>
      <c r="L145" s="180"/>
      <c r="M145" s="180"/>
      <c r="N145" s="180"/>
      <c r="O145" s="180"/>
    </row>
    <row r="146" spans="1:15" ht="16" x14ac:dyDescent="0.2">
      <c r="A146" s="180" t="s">
        <v>333</v>
      </c>
      <c r="B146" s="180">
        <v>175</v>
      </c>
      <c r="C146" s="180" t="s">
        <v>667</v>
      </c>
      <c r="D146" s="180" t="s">
        <v>649</v>
      </c>
      <c r="E146" s="180">
        <v>2013</v>
      </c>
      <c r="F146" s="180"/>
      <c r="G146" s="180" t="s">
        <v>668</v>
      </c>
      <c r="H146" s="180" t="s">
        <v>376</v>
      </c>
      <c r="I146" s="180"/>
      <c r="J146" s="180"/>
      <c r="K146" s="180"/>
      <c r="L146" s="180"/>
      <c r="M146" s="180"/>
      <c r="N146" s="180"/>
      <c r="O146" s="180"/>
    </row>
    <row r="147" spans="1:15" ht="16" x14ac:dyDescent="0.2">
      <c r="A147" s="180" t="s">
        <v>373</v>
      </c>
      <c r="B147" s="180">
        <v>176</v>
      </c>
      <c r="C147" s="180" t="s">
        <v>669</v>
      </c>
      <c r="D147" s="180" t="s">
        <v>375</v>
      </c>
      <c r="E147" s="180">
        <v>1</v>
      </c>
      <c r="F147" s="180"/>
      <c r="G147" s="180"/>
      <c r="H147" s="180" t="s">
        <v>376</v>
      </c>
      <c r="I147" s="180"/>
      <c r="J147" s="180"/>
      <c r="K147" s="180"/>
      <c r="L147" s="180"/>
      <c r="M147" s="180"/>
      <c r="N147" s="180"/>
      <c r="O147" s="180"/>
    </row>
    <row r="148" spans="1:15" ht="16" x14ac:dyDescent="0.2">
      <c r="A148" s="180" t="s">
        <v>451</v>
      </c>
      <c r="B148" s="180">
        <v>177</v>
      </c>
      <c r="C148" s="180" t="s">
        <v>670</v>
      </c>
      <c r="D148" s="180" t="s">
        <v>378</v>
      </c>
      <c r="E148" s="180">
        <v>1</v>
      </c>
      <c r="F148" s="180"/>
      <c r="G148" s="180" t="s">
        <v>671</v>
      </c>
      <c r="H148" s="180" t="s">
        <v>376</v>
      </c>
      <c r="I148" s="180"/>
      <c r="J148" s="180"/>
      <c r="K148" s="180"/>
      <c r="L148" s="180"/>
      <c r="M148" s="180"/>
      <c r="N148" s="180"/>
      <c r="O148" s="180"/>
    </row>
    <row r="149" spans="1:15" ht="16" x14ac:dyDescent="0.2">
      <c r="A149" s="180" t="s">
        <v>333</v>
      </c>
      <c r="B149" s="180">
        <v>178</v>
      </c>
      <c r="C149" s="180" t="s">
        <v>672</v>
      </c>
      <c r="D149" s="180" t="s">
        <v>344</v>
      </c>
      <c r="E149" s="180"/>
      <c r="F149" s="180"/>
      <c r="G149" s="180" t="s">
        <v>673</v>
      </c>
      <c r="H149" s="180" t="s">
        <v>376</v>
      </c>
      <c r="I149" s="180"/>
      <c r="J149" s="180"/>
      <c r="K149" s="180"/>
      <c r="L149" s="180"/>
      <c r="M149" s="180"/>
      <c r="N149" s="180"/>
      <c r="O149" s="180"/>
    </row>
    <row r="150" spans="1:15" ht="16" x14ac:dyDescent="0.2">
      <c r="A150" s="180" t="s">
        <v>451</v>
      </c>
      <c r="B150" s="180">
        <v>182</v>
      </c>
      <c r="C150" s="180" t="s">
        <v>680</v>
      </c>
      <c r="D150" s="180" t="s">
        <v>378</v>
      </c>
      <c r="E150" s="180">
        <v>1</v>
      </c>
      <c r="F150" s="180"/>
      <c r="G150" s="180" t="s">
        <v>681</v>
      </c>
      <c r="H150" s="180" t="s">
        <v>376</v>
      </c>
      <c r="I150" s="180"/>
      <c r="J150" s="180"/>
      <c r="K150" s="180"/>
      <c r="L150" s="180"/>
      <c r="M150" s="180"/>
      <c r="N150" s="180"/>
      <c r="O150" s="180"/>
    </row>
    <row r="151" spans="1:15" ht="16" x14ac:dyDescent="0.2">
      <c r="A151" s="180" t="s">
        <v>333</v>
      </c>
      <c r="B151" s="180">
        <v>183</v>
      </c>
      <c r="C151" s="180" t="s">
        <v>682</v>
      </c>
      <c r="D151" s="180" t="s">
        <v>378</v>
      </c>
      <c r="E151" s="180">
        <v>1</v>
      </c>
      <c r="F151" s="180"/>
      <c r="G151" s="180" t="s">
        <v>683</v>
      </c>
      <c r="H151" s="180" t="s">
        <v>376</v>
      </c>
      <c r="I151" s="180"/>
      <c r="J151" s="180"/>
      <c r="K151" s="180"/>
      <c r="L151" s="180"/>
      <c r="M151" s="180"/>
      <c r="N151" s="180"/>
      <c r="O151" s="180"/>
    </row>
    <row r="152" spans="1:15" ht="16" x14ac:dyDescent="0.2">
      <c r="A152" s="180" t="s">
        <v>333</v>
      </c>
      <c r="B152" s="180">
        <v>184</v>
      </c>
      <c r="C152" s="180" t="s">
        <v>684</v>
      </c>
      <c r="D152" s="180" t="s">
        <v>342</v>
      </c>
      <c r="E152" s="180">
        <v>2</v>
      </c>
      <c r="F152" s="180"/>
      <c r="G152" s="180" t="s">
        <v>685</v>
      </c>
      <c r="H152" s="180" t="s">
        <v>376</v>
      </c>
      <c r="I152" s="180"/>
      <c r="J152" s="180"/>
      <c r="K152" s="180"/>
      <c r="L152" s="180"/>
      <c r="M152" s="180"/>
      <c r="N152" s="180"/>
      <c r="O152" s="180"/>
    </row>
    <row r="153" spans="1:15" ht="16" x14ac:dyDescent="0.2">
      <c r="A153" s="180" t="s">
        <v>333</v>
      </c>
      <c r="B153" s="180">
        <v>185</v>
      </c>
      <c r="C153" s="180" t="s">
        <v>686</v>
      </c>
      <c r="D153" s="181" t="s">
        <v>910</v>
      </c>
      <c r="E153" s="180">
        <v>21</v>
      </c>
      <c r="F153" s="185">
        <f>(0.04+0.02)*(BackgroundInfo1!$C$32+BackgroundInfo1!$C$33)</f>
        <v>20.904</v>
      </c>
      <c r="G153" s="180" t="s">
        <v>688</v>
      </c>
      <c r="H153" s="180" t="s">
        <v>376</v>
      </c>
      <c r="I153" s="181" t="s">
        <v>1845</v>
      </c>
      <c r="J153" s="180"/>
      <c r="K153" s="180"/>
      <c r="L153" s="180"/>
      <c r="M153" s="180"/>
      <c r="N153" s="180"/>
      <c r="O153" s="180"/>
    </row>
    <row r="154" spans="1:15" ht="16" x14ac:dyDescent="0.2">
      <c r="A154" s="180" t="s">
        <v>333</v>
      </c>
      <c r="B154" s="180">
        <v>186</v>
      </c>
      <c r="C154" s="180" t="s">
        <v>1846</v>
      </c>
      <c r="D154" s="181" t="s">
        <v>1080</v>
      </c>
      <c r="E154" s="185">
        <v>7</v>
      </c>
      <c r="F154" s="185">
        <f>0.02*(BackgroundInfo1!$C$32+BackgroundInfo1!$C$33)</f>
        <v>6.9680000000000009</v>
      </c>
      <c r="G154" s="180" t="s">
        <v>689</v>
      </c>
      <c r="H154" s="180" t="s">
        <v>376</v>
      </c>
      <c r="I154" s="180"/>
      <c r="J154" s="180"/>
      <c r="K154" s="180"/>
      <c r="L154" s="180"/>
      <c r="M154" s="180"/>
      <c r="N154" s="180"/>
      <c r="O154" s="180"/>
    </row>
    <row r="155" spans="1:15" ht="16" x14ac:dyDescent="0.2">
      <c r="A155" s="180" t="s">
        <v>333</v>
      </c>
      <c r="B155" s="180">
        <v>187</v>
      </c>
      <c r="C155" s="180" t="s">
        <v>1847</v>
      </c>
      <c r="D155" s="180" t="s">
        <v>579</v>
      </c>
      <c r="E155" s="180">
        <v>2017</v>
      </c>
      <c r="F155" s="180"/>
      <c r="G155" s="180" t="s">
        <v>389</v>
      </c>
      <c r="H155" s="180" t="s">
        <v>376</v>
      </c>
      <c r="I155" s="180"/>
      <c r="J155" s="180"/>
      <c r="K155" s="180"/>
      <c r="L155" s="180"/>
      <c r="M155" s="180"/>
      <c r="N155" s="180"/>
      <c r="O155" s="180"/>
    </row>
    <row r="156" spans="1:15" ht="16" x14ac:dyDescent="0.2">
      <c r="A156" s="180" t="s">
        <v>333</v>
      </c>
      <c r="B156" s="180">
        <v>188</v>
      </c>
      <c r="C156" s="180" t="s">
        <v>690</v>
      </c>
      <c r="D156" s="180" t="s">
        <v>378</v>
      </c>
      <c r="E156" s="180">
        <v>1</v>
      </c>
      <c r="F156" s="185">
        <f>F154-(F153-F154)*(1-0.7)/0.7</f>
        <v>0.99542857142857155</v>
      </c>
      <c r="G156" s="180" t="s">
        <v>691</v>
      </c>
      <c r="H156" s="180" t="s">
        <v>376</v>
      </c>
      <c r="I156" s="180" t="s">
        <v>1848</v>
      </c>
      <c r="J156" s="180"/>
      <c r="K156" s="180"/>
      <c r="L156" s="180"/>
      <c r="M156" s="180"/>
      <c r="N156" s="180"/>
      <c r="O156" s="180"/>
    </row>
    <row r="157" spans="1:15" ht="16" x14ac:dyDescent="0.2">
      <c r="A157" s="180" t="s">
        <v>333</v>
      </c>
      <c r="B157" s="180">
        <v>189</v>
      </c>
      <c r="C157" s="180" t="s">
        <v>692</v>
      </c>
      <c r="D157" s="180" t="s">
        <v>342</v>
      </c>
      <c r="E157" s="180">
        <v>2</v>
      </c>
      <c r="F157" s="185">
        <f>F154-(F153-F154)*(1-0.75)/0.75</f>
        <v>2.3226666666666675</v>
      </c>
      <c r="G157" s="180" t="s">
        <v>693</v>
      </c>
      <c r="H157" s="180" t="s">
        <v>376</v>
      </c>
      <c r="I157" s="180" t="s">
        <v>1849</v>
      </c>
      <c r="J157" s="180"/>
      <c r="K157" s="180"/>
      <c r="L157" s="180"/>
      <c r="M157" s="180"/>
      <c r="N157" s="180"/>
      <c r="O157" s="180"/>
    </row>
    <row r="158" spans="1:15" ht="16" x14ac:dyDescent="0.2">
      <c r="A158" s="180" t="s">
        <v>333</v>
      </c>
      <c r="B158" s="180">
        <v>190</v>
      </c>
      <c r="C158" s="180" t="s">
        <v>694</v>
      </c>
      <c r="D158" s="180" t="s">
        <v>378</v>
      </c>
      <c r="E158" s="180">
        <v>1</v>
      </c>
      <c r="F158" s="180"/>
      <c r="G158" s="180" t="s">
        <v>695</v>
      </c>
      <c r="H158" s="180" t="s">
        <v>376</v>
      </c>
      <c r="I158" s="181" t="s">
        <v>1851</v>
      </c>
      <c r="J158" s="180" t="s">
        <v>1850</v>
      </c>
      <c r="K158" s="180"/>
      <c r="L158" s="180"/>
      <c r="M158" s="180"/>
      <c r="N158" s="180"/>
      <c r="O158" s="180"/>
    </row>
    <row r="159" spans="1:15" ht="16" x14ac:dyDescent="0.2">
      <c r="A159" s="180" t="s">
        <v>333</v>
      </c>
      <c r="B159" s="180">
        <v>191</v>
      </c>
      <c r="C159" s="180" t="s">
        <v>696</v>
      </c>
      <c r="D159" s="180" t="s">
        <v>697</v>
      </c>
      <c r="E159" s="180">
        <v>4</v>
      </c>
      <c r="F159" s="180">
        <f>E158/E159</f>
        <v>0.25</v>
      </c>
      <c r="G159" s="180" t="s">
        <v>698</v>
      </c>
      <c r="H159" s="180" t="s">
        <v>376</v>
      </c>
      <c r="I159" s="180"/>
      <c r="J159" s="180"/>
      <c r="K159" s="180"/>
      <c r="L159" s="180"/>
      <c r="M159" s="180"/>
      <c r="N159" s="180"/>
      <c r="O159" s="180"/>
    </row>
    <row r="160" spans="1:15" ht="16" x14ac:dyDescent="0.2">
      <c r="A160" s="180" t="s">
        <v>333</v>
      </c>
      <c r="B160" s="180">
        <v>192</v>
      </c>
      <c r="C160" s="180" t="s">
        <v>699</v>
      </c>
      <c r="D160" s="180" t="s">
        <v>470</v>
      </c>
      <c r="E160" s="180">
        <v>5</v>
      </c>
      <c r="F160" s="180"/>
      <c r="G160" s="180" t="s">
        <v>700</v>
      </c>
      <c r="H160" s="180" t="s">
        <v>376</v>
      </c>
      <c r="I160" s="181" t="s">
        <v>1852</v>
      </c>
      <c r="J160" s="180"/>
      <c r="K160" s="180"/>
      <c r="L160" s="180"/>
      <c r="M160" s="180"/>
      <c r="N160" s="180"/>
      <c r="O160" s="180"/>
    </row>
    <row r="161" spans="1:15" ht="16" x14ac:dyDescent="0.2">
      <c r="A161" s="180" t="s">
        <v>333</v>
      </c>
      <c r="B161" s="180">
        <v>193</v>
      </c>
      <c r="C161" s="180" t="s">
        <v>701</v>
      </c>
      <c r="D161" s="180" t="s">
        <v>702</v>
      </c>
      <c r="E161" s="180">
        <v>12</v>
      </c>
      <c r="F161" s="180">
        <f>E160/E161</f>
        <v>0.41666666666666669</v>
      </c>
      <c r="G161" s="180"/>
      <c r="H161" s="180" t="s">
        <v>376</v>
      </c>
      <c r="I161" s="180"/>
      <c r="J161" s="180"/>
      <c r="K161" s="180"/>
      <c r="L161" s="180"/>
      <c r="M161" s="180"/>
      <c r="N161" s="180"/>
      <c r="O161" s="180"/>
    </row>
    <row r="162" spans="1:15" ht="16" x14ac:dyDescent="0.2">
      <c r="A162" s="180" t="s">
        <v>333</v>
      </c>
      <c r="B162" s="180">
        <v>194</v>
      </c>
      <c r="C162" s="180" t="s">
        <v>703</v>
      </c>
      <c r="D162" s="180" t="s">
        <v>704</v>
      </c>
      <c r="E162" s="180">
        <v>92</v>
      </c>
      <c r="F162" s="180"/>
      <c r="G162" s="180" t="s">
        <v>705</v>
      </c>
      <c r="H162" s="180" t="s">
        <v>376</v>
      </c>
      <c r="I162" s="180"/>
      <c r="J162" s="180" t="s">
        <v>1853</v>
      </c>
      <c r="K162" s="180"/>
      <c r="L162" s="180"/>
      <c r="M162" s="180"/>
      <c r="N162" s="180"/>
      <c r="O162" s="180"/>
    </row>
    <row r="163" spans="1:15" ht="16" x14ac:dyDescent="0.2">
      <c r="A163" s="180" t="s">
        <v>333</v>
      </c>
      <c r="B163" s="180">
        <v>195</v>
      </c>
      <c r="C163" s="180" t="s">
        <v>706</v>
      </c>
      <c r="D163" s="180" t="s">
        <v>707</v>
      </c>
      <c r="E163" s="180">
        <v>53</v>
      </c>
      <c r="F163" s="180">
        <f>145-E162</f>
        <v>53</v>
      </c>
      <c r="G163" s="180" t="s">
        <v>708</v>
      </c>
      <c r="H163" s="180" t="s">
        <v>376</v>
      </c>
      <c r="I163" s="181" t="s">
        <v>1854</v>
      </c>
      <c r="J163" s="180" t="s">
        <v>1853</v>
      </c>
      <c r="K163" s="180"/>
      <c r="L163" s="180"/>
      <c r="M163" s="180"/>
      <c r="N163" s="180"/>
      <c r="O163" s="180"/>
    </row>
    <row r="164" spans="1:15" ht="16" x14ac:dyDescent="0.2">
      <c r="A164" s="180" t="s">
        <v>333</v>
      </c>
      <c r="B164" s="180">
        <v>196</v>
      </c>
      <c r="C164" s="180" t="s">
        <v>709</v>
      </c>
      <c r="D164" s="180" t="s">
        <v>352</v>
      </c>
      <c r="E164" s="180">
        <v>2022</v>
      </c>
      <c r="F164" s="180"/>
      <c r="G164" s="180" t="s">
        <v>710</v>
      </c>
      <c r="H164" s="180" t="s">
        <v>376</v>
      </c>
      <c r="I164" s="180"/>
      <c r="J164" s="180"/>
      <c r="K164" s="180"/>
      <c r="L164" s="180"/>
      <c r="M164" s="180"/>
      <c r="N164" s="180"/>
      <c r="O164" s="180"/>
    </row>
    <row r="165" spans="1:15" ht="16" x14ac:dyDescent="0.2">
      <c r="A165" s="180" t="s">
        <v>333</v>
      </c>
      <c r="B165" s="180">
        <v>197</v>
      </c>
      <c r="C165" s="180" t="s">
        <v>711</v>
      </c>
      <c r="D165" s="180" t="s">
        <v>712</v>
      </c>
      <c r="E165" s="180">
        <v>36</v>
      </c>
      <c r="F165" s="185">
        <f>SUM($E$162:$E$163)*F159</f>
        <v>36.25</v>
      </c>
      <c r="G165" s="180" t="s">
        <v>713</v>
      </c>
      <c r="H165" s="180" t="s">
        <v>376</v>
      </c>
      <c r="I165" s="180"/>
      <c r="J165" s="180"/>
      <c r="K165" s="180"/>
      <c r="L165" s="180"/>
      <c r="M165" s="180"/>
      <c r="N165" s="180"/>
      <c r="O165" s="180"/>
    </row>
    <row r="166" spans="1:15" ht="16" x14ac:dyDescent="0.2">
      <c r="A166" s="180" t="s">
        <v>333</v>
      </c>
      <c r="B166" s="180">
        <v>198</v>
      </c>
      <c r="C166" s="180" t="s">
        <v>714</v>
      </c>
      <c r="D166" s="180" t="s">
        <v>715</v>
      </c>
      <c r="E166" s="180">
        <v>-60</v>
      </c>
      <c r="F166" s="185">
        <f>SUM($E$162:$E$163)*F161</f>
        <v>60.416666666666671</v>
      </c>
      <c r="G166" s="180" t="s">
        <v>693</v>
      </c>
      <c r="H166" s="180" t="s">
        <v>376</v>
      </c>
      <c r="I166" s="180"/>
      <c r="J166" s="180"/>
      <c r="K166" s="180"/>
      <c r="L166" s="180"/>
      <c r="M166" s="180"/>
      <c r="N166" s="180"/>
      <c r="O166" s="180"/>
    </row>
    <row r="167" spans="1:15" ht="16" x14ac:dyDescent="0.2">
      <c r="A167" s="180" t="s">
        <v>373</v>
      </c>
      <c r="B167" s="180">
        <v>200</v>
      </c>
      <c r="C167" s="180" t="s">
        <v>718</v>
      </c>
      <c r="D167" s="180" t="s">
        <v>375</v>
      </c>
      <c r="E167" s="180">
        <v>1</v>
      </c>
      <c r="G167" s="180"/>
      <c r="H167" s="180" t="s">
        <v>376</v>
      </c>
      <c r="I167" s="180"/>
      <c r="J167" s="180"/>
      <c r="K167" s="180"/>
      <c r="L167" s="180"/>
      <c r="M167" s="180"/>
      <c r="N167" s="180"/>
      <c r="O167" s="180"/>
    </row>
    <row r="168" spans="1:15" ht="16" x14ac:dyDescent="0.2">
      <c r="A168" s="180" t="s">
        <v>333</v>
      </c>
      <c r="B168" s="180">
        <v>201</v>
      </c>
      <c r="C168" s="180" t="s">
        <v>719</v>
      </c>
      <c r="D168" s="180" t="s">
        <v>655</v>
      </c>
      <c r="E168" s="180">
        <v>2021</v>
      </c>
      <c r="F168" s="180"/>
      <c r="G168" s="180" t="s">
        <v>389</v>
      </c>
      <c r="H168" s="180" t="s">
        <v>376</v>
      </c>
      <c r="I168" s="180"/>
      <c r="J168" s="180"/>
      <c r="K168" s="180"/>
      <c r="L168" s="180"/>
      <c r="M168" s="180"/>
      <c r="N168" s="180"/>
      <c r="O168" s="180"/>
    </row>
    <row r="169" spans="1:15" ht="16" x14ac:dyDescent="0.2">
      <c r="A169" s="180" t="s">
        <v>333</v>
      </c>
      <c r="B169" s="180">
        <v>204</v>
      </c>
      <c r="C169" s="180" t="s">
        <v>724</v>
      </c>
      <c r="D169" s="180" t="s">
        <v>352</v>
      </c>
      <c r="E169" s="180">
        <v>2022</v>
      </c>
      <c r="F169" s="180"/>
      <c r="G169" s="180" t="s">
        <v>725</v>
      </c>
      <c r="H169" s="180" t="s">
        <v>376</v>
      </c>
      <c r="I169" s="180"/>
      <c r="J169" s="180"/>
      <c r="K169" s="180"/>
      <c r="L169" s="180"/>
      <c r="M169" s="180"/>
      <c r="N169" s="180"/>
      <c r="O169" s="180"/>
    </row>
    <row r="170" spans="1:15" ht="16" x14ac:dyDescent="0.2">
      <c r="A170" s="180" t="s">
        <v>333</v>
      </c>
      <c r="B170" s="180">
        <v>205</v>
      </c>
      <c r="C170" s="180" t="s">
        <v>726</v>
      </c>
      <c r="D170" s="180" t="s">
        <v>378</v>
      </c>
      <c r="E170" s="180">
        <v>1</v>
      </c>
      <c r="F170" s="180"/>
      <c r="G170" s="180" t="s">
        <v>727</v>
      </c>
      <c r="H170" s="180" t="s">
        <v>376</v>
      </c>
      <c r="I170" s="180"/>
      <c r="J170" s="180"/>
      <c r="K170" s="180"/>
      <c r="L170" s="180"/>
      <c r="M170" s="180"/>
      <c r="N170" s="180"/>
      <c r="O170" s="180"/>
    </row>
    <row r="171" spans="1:15" ht="16" x14ac:dyDescent="0.2">
      <c r="A171" s="180" t="s">
        <v>333</v>
      </c>
      <c r="B171" s="180">
        <v>206</v>
      </c>
      <c r="C171" s="180" t="s">
        <v>728</v>
      </c>
      <c r="D171" s="180" t="s">
        <v>729</v>
      </c>
      <c r="E171" s="180">
        <v>2024</v>
      </c>
      <c r="F171" s="180"/>
      <c r="G171" s="180" t="s">
        <v>730</v>
      </c>
      <c r="H171" s="180" t="s">
        <v>376</v>
      </c>
      <c r="I171" s="180"/>
      <c r="J171" s="180"/>
      <c r="K171" s="180"/>
      <c r="L171" s="180"/>
      <c r="M171" s="180"/>
      <c r="N171" s="180"/>
      <c r="O171" s="180"/>
    </row>
    <row r="172" spans="1:15" ht="16" x14ac:dyDescent="0.2">
      <c r="A172" s="180" t="s">
        <v>333</v>
      </c>
      <c r="B172" s="180">
        <v>207</v>
      </c>
      <c r="C172" s="180" t="s">
        <v>731</v>
      </c>
      <c r="D172" s="180" t="s">
        <v>732</v>
      </c>
      <c r="E172" s="180">
        <v>87</v>
      </c>
      <c r="F172" s="180"/>
      <c r="G172" s="180" t="s">
        <v>733</v>
      </c>
      <c r="H172" s="180" t="s">
        <v>376</v>
      </c>
      <c r="I172" s="180"/>
      <c r="J172" s="180"/>
      <c r="K172" s="180"/>
      <c r="L172" s="180"/>
      <c r="M172" s="180"/>
      <c r="N172" s="180"/>
      <c r="O172" s="180"/>
    </row>
    <row r="173" spans="1:15" ht="16" x14ac:dyDescent="0.2">
      <c r="A173" s="180" t="s">
        <v>333</v>
      </c>
      <c r="B173" s="180">
        <v>208</v>
      </c>
      <c r="C173" s="180" t="s">
        <v>734</v>
      </c>
      <c r="D173" s="180" t="s">
        <v>735</v>
      </c>
      <c r="E173" s="180">
        <v>27704</v>
      </c>
      <c r="F173" s="180"/>
      <c r="G173" s="180" t="s">
        <v>389</v>
      </c>
      <c r="H173" s="180" t="s">
        <v>376</v>
      </c>
      <c r="I173" s="180"/>
      <c r="J173" s="180"/>
      <c r="K173" s="180"/>
      <c r="L173" s="180"/>
      <c r="M173" s="180"/>
      <c r="N173" s="180"/>
      <c r="O173" s="180"/>
    </row>
    <row r="174" spans="1:15" ht="16" x14ac:dyDescent="0.2">
      <c r="A174" s="180" t="s">
        <v>333</v>
      </c>
      <c r="B174" s="180">
        <v>209</v>
      </c>
      <c r="C174" s="180" t="s">
        <v>736</v>
      </c>
      <c r="D174" s="180" t="s">
        <v>737</v>
      </c>
      <c r="E174" s="180">
        <v>2023</v>
      </c>
      <c r="F174" s="180"/>
      <c r="G174" s="180" t="s">
        <v>738</v>
      </c>
      <c r="H174" s="180" t="s">
        <v>376</v>
      </c>
      <c r="I174" s="180"/>
      <c r="J174" s="180"/>
      <c r="K174" s="180"/>
      <c r="L174" s="180"/>
      <c r="M174" s="180"/>
      <c r="N174" s="180"/>
      <c r="O174" s="180"/>
    </row>
    <row r="175" spans="1:15" ht="16" x14ac:dyDescent="0.2">
      <c r="A175" s="180" t="s">
        <v>739</v>
      </c>
      <c r="B175" s="180">
        <v>210</v>
      </c>
      <c r="C175" s="180" t="s">
        <v>740</v>
      </c>
      <c r="D175" s="180" t="s">
        <v>342</v>
      </c>
      <c r="E175" s="180">
        <v>2</v>
      </c>
      <c r="F175" s="180"/>
      <c r="G175" s="180" t="s">
        <v>741</v>
      </c>
      <c r="H175" s="180" t="s">
        <v>376</v>
      </c>
      <c r="I175" s="180"/>
      <c r="J175" s="180"/>
      <c r="K175" s="180"/>
      <c r="L175" s="180"/>
      <c r="M175" s="180"/>
      <c r="N175" s="180"/>
      <c r="O175" s="180"/>
    </row>
    <row r="176" spans="1:15" ht="16" x14ac:dyDescent="0.2">
      <c r="A176" s="180" t="s">
        <v>333</v>
      </c>
      <c r="B176" s="180">
        <v>211</v>
      </c>
      <c r="C176" s="180" t="s">
        <v>742</v>
      </c>
      <c r="D176" s="180" t="s">
        <v>347</v>
      </c>
      <c r="E176" s="180">
        <v>2</v>
      </c>
      <c r="F176" s="180"/>
      <c r="G176" s="180" t="s">
        <v>743</v>
      </c>
      <c r="H176" s="180" t="s">
        <v>376</v>
      </c>
      <c r="I176" s="180"/>
      <c r="J176" s="180"/>
      <c r="K176" s="180"/>
      <c r="L176" s="180"/>
      <c r="M176" s="180"/>
      <c r="N176" s="180"/>
      <c r="O176" s="180"/>
    </row>
    <row r="177" spans="1:15" ht="16" x14ac:dyDescent="0.2">
      <c r="A177" s="180" t="s">
        <v>333</v>
      </c>
      <c r="B177" s="180">
        <v>212</v>
      </c>
      <c r="C177" s="180" t="s">
        <v>744</v>
      </c>
      <c r="D177" s="180" t="s">
        <v>364</v>
      </c>
      <c r="E177" s="180">
        <v>1</v>
      </c>
      <c r="F177" s="180"/>
      <c r="G177" s="180" t="s">
        <v>745</v>
      </c>
      <c r="H177" s="180" t="s">
        <v>376</v>
      </c>
      <c r="I177" s="180"/>
      <c r="J177" s="180"/>
      <c r="K177" s="180"/>
      <c r="L177" s="180"/>
      <c r="M177" s="180"/>
      <c r="N177" s="180"/>
      <c r="O177" s="180"/>
    </row>
    <row r="178" spans="1:15" ht="16" x14ac:dyDescent="0.2">
      <c r="A178" s="180" t="s">
        <v>333</v>
      </c>
      <c r="B178" s="180">
        <v>214</v>
      </c>
      <c r="C178" s="180" t="s">
        <v>748</v>
      </c>
      <c r="D178" s="180" t="s">
        <v>362</v>
      </c>
      <c r="E178" s="180">
        <v>0</v>
      </c>
      <c r="F178" s="180"/>
      <c r="G178" s="180" t="s">
        <v>749</v>
      </c>
      <c r="H178" s="180" t="s">
        <v>376</v>
      </c>
      <c r="I178" s="180"/>
      <c r="J178" s="180" t="s">
        <v>1855</v>
      </c>
      <c r="K178" s="180"/>
      <c r="L178" s="180"/>
      <c r="M178" s="180"/>
      <c r="N178" s="180"/>
      <c r="O178" s="180"/>
    </row>
    <row r="179" spans="1:15" ht="16" x14ac:dyDescent="0.2">
      <c r="A179" s="180" t="s">
        <v>373</v>
      </c>
      <c r="B179" s="180">
        <v>215</v>
      </c>
      <c r="C179" s="180" t="s">
        <v>750</v>
      </c>
      <c r="D179" s="180" t="s">
        <v>342</v>
      </c>
      <c r="E179" s="180">
        <v>2</v>
      </c>
      <c r="F179" s="180"/>
      <c r="G179" s="180" t="s">
        <v>751</v>
      </c>
      <c r="H179" s="180" t="s">
        <v>376</v>
      </c>
      <c r="I179" s="180"/>
      <c r="J179" s="180"/>
      <c r="K179" s="180"/>
      <c r="L179" s="180"/>
      <c r="M179" s="180"/>
      <c r="N179" s="180"/>
      <c r="O179" s="180"/>
    </row>
    <row r="180" spans="1:15" ht="16" x14ac:dyDescent="0.2">
      <c r="A180" s="180" t="s">
        <v>373</v>
      </c>
      <c r="B180" s="180">
        <v>216</v>
      </c>
      <c r="C180" s="180" t="s">
        <v>752</v>
      </c>
      <c r="D180" s="180" t="s">
        <v>378</v>
      </c>
      <c r="E180" s="180">
        <v>1</v>
      </c>
      <c r="F180" s="180"/>
      <c r="G180" s="180" t="s">
        <v>753</v>
      </c>
      <c r="H180" s="180" t="s">
        <v>376</v>
      </c>
      <c r="I180" s="180"/>
      <c r="J180" s="180"/>
      <c r="K180" s="180"/>
      <c r="L180" s="180"/>
      <c r="M180" s="180"/>
      <c r="N180" s="180"/>
      <c r="O180" s="180"/>
    </row>
    <row r="181" spans="1:15" ht="16" x14ac:dyDescent="0.2">
      <c r="A181" s="180" t="s">
        <v>333</v>
      </c>
      <c r="B181" s="180">
        <v>217</v>
      </c>
      <c r="C181" s="180" t="s">
        <v>754</v>
      </c>
      <c r="D181" s="180" t="s">
        <v>364</v>
      </c>
      <c r="E181" s="180">
        <v>1</v>
      </c>
      <c r="F181" s="180"/>
      <c r="G181" s="180" t="s">
        <v>755</v>
      </c>
      <c r="H181" s="180" t="s">
        <v>376</v>
      </c>
      <c r="I181" s="180"/>
      <c r="J181" s="180"/>
      <c r="K181" s="180"/>
      <c r="L181" s="180"/>
      <c r="M181" s="180"/>
      <c r="N181" s="180"/>
      <c r="O181" s="180"/>
    </row>
    <row r="182" spans="1:15" ht="16" x14ac:dyDescent="0.2">
      <c r="A182" s="180" t="s">
        <v>333</v>
      </c>
      <c r="B182" s="180">
        <v>219</v>
      </c>
      <c r="C182" s="180" t="s">
        <v>758</v>
      </c>
      <c r="D182" s="180" t="s">
        <v>601</v>
      </c>
      <c r="E182" s="180">
        <v>2019</v>
      </c>
      <c r="F182" s="180"/>
      <c r="G182" s="180" t="s">
        <v>759</v>
      </c>
      <c r="H182" s="180" t="s">
        <v>376</v>
      </c>
      <c r="I182" s="180"/>
      <c r="J182" s="180"/>
      <c r="K182" s="180"/>
      <c r="L182" s="180"/>
      <c r="M182" s="180"/>
      <c r="N182" s="180"/>
      <c r="O182" s="180"/>
    </row>
    <row r="183" spans="1:15" ht="16" x14ac:dyDescent="0.2">
      <c r="A183" s="180" t="s">
        <v>333</v>
      </c>
      <c r="B183" s="180">
        <v>220</v>
      </c>
      <c r="C183" s="180" t="s">
        <v>760</v>
      </c>
      <c r="D183" s="180" t="s">
        <v>349</v>
      </c>
      <c r="E183" s="180">
        <v>2020</v>
      </c>
      <c r="F183" s="180"/>
      <c r="G183" s="180" t="s">
        <v>761</v>
      </c>
      <c r="H183" s="180" t="s">
        <v>376</v>
      </c>
      <c r="I183" s="180"/>
      <c r="J183" s="180"/>
      <c r="K183" s="180"/>
      <c r="L183" s="180"/>
      <c r="M183" s="180"/>
      <c r="N183" s="180"/>
      <c r="O183" s="180"/>
    </row>
    <row r="184" spans="1:15" ht="16" x14ac:dyDescent="0.2">
      <c r="A184" s="180" t="s">
        <v>333</v>
      </c>
      <c r="B184" s="180">
        <v>221</v>
      </c>
      <c r="C184" s="180" t="s">
        <v>762</v>
      </c>
      <c r="D184" s="180" t="s">
        <v>404</v>
      </c>
      <c r="E184" s="180">
        <v>30</v>
      </c>
      <c r="F184" s="190">
        <f>BackgroundInfo1!$B$13</f>
        <v>0.29787253798337188</v>
      </c>
      <c r="G184" s="180" t="s">
        <v>763</v>
      </c>
      <c r="H184" s="180" t="s">
        <v>376</v>
      </c>
      <c r="I184" s="180"/>
      <c r="J184" s="180"/>
      <c r="K184" s="180"/>
      <c r="L184" s="180"/>
      <c r="M184" s="180"/>
      <c r="N184" s="180"/>
      <c r="O184" s="180"/>
    </row>
    <row r="185" spans="1:15" ht="16" x14ac:dyDescent="0.2">
      <c r="A185" s="180" t="s">
        <v>333</v>
      </c>
      <c r="B185" s="180">
        <v>222</v>
      </c>
      <c r="C185" s="180" t="s">
        <v>546</v>
      </c>
      <c r="D185" s="180" t="s">
        <v>404</v>
      </c>
      <c r="E185" s="180">
        <v>30</v>
      </c>
      <c r="F185" s="190">
        <f>F184</f>
        <v>0.29787253798337188</v>
      </c>
      <c r="G185" s="180" t="s">
        <v>764</v>
      </c>
      <c r="H185" s="180" t="s">
        <v>376</v>
      </c>
      <c r="I185" s="180"/>
      <c r="J185" s="180"/>
      <c r="K185" s="180"/>
      <c r="L185" s="180"/>
      <c r="M185" s="180"/>
      <c r="N185" s="180"/>
      <c r="O185" s="180"/>
    </row>
    <row r="186" spans="1:15" ht="16" x14ac:dyDescent="0.2">
      <c r="A186" s="180" t="s">
        <v>333</v>
      </c>
      <c r="B186" s="180">
        <v>223</v>
      </c>
      <c r="C186" s="180" t="s">
        <v>765</v>
      </c>
      <c r="D186" s="180" t="s">
        <v>347</v>
      </c>
      <c r="E186" s="180">
        <v>2</v>
      </c>
      <c r="F186" s="180">
        <f>E176</f>
        <v>2</v>
      </c>
      <c r="G186" s="180" t="s">
        <v>766</v>
      </c>
      <c r="H186" s="180" t="s">
        <v>376</v>
      </c>
      <c r="I186" s="180"/>
      <c r="J186" s="180"/>
      <c r="K186" s="180"/>
      <c r="L186" s="180"/>
      <c r="M186" s="180"/>
      <c r="N186" s="180"/>
      <c r="O186" s="180"/>
    </row>
    <row r="187" spans="1:15" ht="16" x14ac:dyDescent="0.2">
      <c r="A187" s="180" t="s">
        <v>333</v>
      </c>
      <c r="B187" s="180">
        <v>224</v>
      </c>
      <c r="C187" s="180" t="s">
        <v>767</v>
      </c>
      <c r="D187" s="180" t="s">
        <v>364</v>
      </c>
      <c r="E187" s="180">
        <v>1</v>
      </c>
      <c r="F187" s="180"/>
      <c r="G187" s="180" t="s">
        <v>768</v>
      </c>
      <c r="H187" s="180" t="s">
        <v>376</v>
      </c>
      <c r="I187" s="180"/>
      <c r="J187" s="180"/>
      <c r="K187" s="180"/>
      <c r="L187" s="180"/>
      <c r="M187" s="180"/>
      <c r="N187" s="180"/>
      <c r="O187" s="180"/>
    </row>
    <row r="188" spans="1:15" ht="16" x14ac:dyDescent="0.2">
      <c r="A188" s="180" t="s">
        <v>333</v>
      </c>
      <c r="B188" s="180">
        <v>225</v>
      </c>
      <c r="C188" s="180" t="s">
        <v>769</v>
      </c>
      <c r="D188" s="180" t="s">
        <v>630</v>
      </c>
      <c r="E188" s="180">
        <v>9</v>
      </c>
      <c r="F188" s="180"/>
      <c r="G188" s="180" t="s">
        <v>770</v>
      </c>
      <c r="H188" s="180" t="s">
        <v>376</v>
      </c>
      <c r="I188" s="180" t="s">
        <v>169</v>
      </c>
      <c r="J188" s="170" t="s">
        <v>1856</v>
      </c>
      <c r="K188" s="180"/>
      <c r="L188" s="180"/>
      <c r="M188" s="180"/>
      <c r="N188" s="180"/>
      <c r="O188" s="180"/>
    </row>
    <row r="189" spans="1:15" ht="16" x14ac:dyDescent="0.2">
      <c r="A189" s="180" t="s">
        <v>333</v>
      </c>
      <c r="B189" s="180">
        <v>226</v>
      </c>
      <c r="C189" s="180" t="s">
        <v>771</v>
      </c>
      <c r="D189" s="180" t="s">
        <v>338</v>
      </c>
      <c r="E189" s="180">
        <v>31</v>
      </c>
      <c r="F189" s="180">
        <f>E73</f>
        <v>31</v>
      </c>
      <c r="G189" s="180" t="s">
        <v>772</v>
      </c>
      <c r="H189" s="180" t="s">
        <v>376</v>
      </c>
      <c r="I189" s="180" t="s">
        <v>169</v>
      </c>
      <c r="J189" s="180"/>
      <c r="K189" s="180"/>
      <c r="L189" s="180"/>
      <c r="M189" s="180"/>
      <c r="N189" s="180"/>
      <c r="O189" s="180"/>
    </row>
    <row r="190" spans="1:15" ht="16" x14ac:dyDescent="0.2">
      <c r="A190" s="180" t="s">
        <v>333</v>
      </c>
      <c r="B190" s="180">
        <v>227</v>
      </c>
      <c r="C190" s="180" t="s">
        <v>773</v>
      </c>
      <c r="D190" s="180" t="s">
        <v>364</v>
      </c>
      <c r="E190" s="180">
        <v>1</v>
      </c>
      <c r="F190" s="180"/>
      <c r="G190" s="180" t="s">
        <v>774</v>
      </c>
      <c r="H190" s="180" t="s">
        <v>376</v>
      </c>
      <c r="I190" s="180" t="s">
        <v>85</v>
      </c>
      <c r="J190" s="180"/>
      <c r="K190" s="180"/>
      <c r="L190" s="180"/>
      <c r="M190" s="180"/>
      <c r="N190" s="180"/>
      <c r="O190" s="180"/>
    </row>
    <row r="191" spans="1:15" ht="16" x14ac:dyDescent="0.2">
      <c r="A191" s="180" t="s">
        <v>333</v>
      </c>
      <c r="B191" s="180">
        <v>229</v>
      </c>
      <c r="C191" s="180" t="s">
        <v>775</v>
      </c>
      <c r="D191" s="180" t="s">
        <v>396</v>
      </c>
      <c r="E191" s="180">
        <v>15</v>
      </c>
      <c r="F191" s="180">
        <f>E26</f>
        <v>15</v>
      </c>
      <c r="G191" s="180" t="s">
        <v>776</v>
      </c>
      <c r="H191" s="180" t="s">
        <v>376</v>
      </c>
      <c r="I191" s="180"/>
      <c r="J191" s="180"/>
      <c r="K191" s="180"/>
      <c r="L191" s="180"/>
      <c r="M191" s="180"/>
      <c r="N191" s="180"/>
      <c r="O191" s="180"/>
    </row>
    <row r="192" spans="1:15" ht="16" x14ac:dyDescent="0.2">
      <c r="A192" s="180" t="s">
        <v>333</v>
      </c>
      <c r="B192" s="180">
        <v>230</v>
      </c>
      <c r="C192" s="180" t="s">
        <v>777</v>
      </c>
      <c r="D192" s="180" t="s">
        <v>399</v>
      </c>
      <c r="E192" s="180">
        <v>85</v>
      </c>
      <c r="F192" s="180">
        <f>100-F191</f>
        <v>85</v>
      </c>
      <c r="G192" s="180" t="s">
        <v>778</v>
      </c>
      <c r="H192" s="180" t="s">
        <v>376</v>
      </c>
      <c r="I192" s="180"/>
      <c r="J192" s="180"/>
      <c r="K192" s="180"/>
      <c r="L192" s="180"/>
      <c r="M192" s="180"/>
      <c r="N192" s="180"/>
      <c r="O192" s="180"/>
    </row>
    <row r="193" spans="1:15" ht="16" x14ac:dyDescent="0.2">
      <c r="A193" s="180" t="s">
        <v>373</v>
      </c>
      <c r="B193" s="180">
        <v>231</v>
      </c>
      <c r="C193" s="180" t="s">
        <v>401</v>
      </c>
      <c r="D193" s="180" t="s">
        <v>342</v>
      </c>
      <c r="E193" s="180">
        <v>2</v>
      </c>
      <c r="F193" s="180"/>
      <c r="G193" s="180" t="s">
        <v>779</v>
      </c>
      <c r="H193" s="180" t="s">
        <v>376</v>
      </c>
      <c r="I193" s="180"/>
      <c r="J193" s="180"/>
      <c r="K193" s="180"/>
      <c r="L193" s="180"/>
      <c r="M193" s="180"/>
      <c r="N193" s="180"/>
      <c r="O193" s="180"/>
    </row>
    <row r="194" spans="1:15" ht="16" x14ac:dyDescent="0.2">
      <c r="A194" s="180" t="s">
        <v>329</v>
      </c>
      <c r="B194" s="180">
        <v>234</v>
      </c>
      <c r="C194" s="180" t="s">
        <v>954</v>
      </c>
      <c r="D194" s="180" t="s">
        <v>342</v>
      </c>
      <c r="E194" s="180">
        <v>2</v>
      </c>
      <c r="F194" s="180"/>
      <c r="G194" s="180" t="s">
        <v>955</v>
      </c>
      <c r="H194" s="180" t="s">
        <v>376</v>
      </c>
      <c r="I194" s="180"/>
      <c r="J194" s="180"/>
      <c r="K194" s="180"/>
      <c r="L194" s="180"/>
      <c r="M194" s="180"/>
      <c r="N194" s="180"/>
      <c r="O194" s="180"/>
    </row>
    <row r="195" spans="1:15" ht="16" x14ac:dyDescent="0.2">
      <c r="A195" s="180" t="s">
        <v>451</v>
      </c>
      <c r="B195" s="180">
        <v>235</v>
      </c>
      <c r="C195" s="180" t="s">
        <v>467</v>
      </c>
      <c r="D195" s="180" t="s">
        <v>497</v>
      </c>
      <c r="E195" s="180">
        <v>3</v>
      </c>
      <c r="F195" s="180"/>
      <c r="G195" s="180" t="s">
        <v>781</v>
      </c>
      <c r="H195" s="180" t="s">
        <v>376</v>
      </c>
      <c r="I195" s="180"/>
      <c r="J195" s="180"/>
      <c r="K195" s="180"/>
      <c r="L195" s="180"/>
      <c r="M195" s="180"/>
      <c r="N195" s="180"/>
      <c r="O195" s="180"/>
    </row>
    <row r="196" spans="1:15" ht="16" x14ac:dyDescent="0.2">
      <c r="A196" s="180" t="s">
        <v>333</v>
      </c>
      <c r="B196" s="180">
        <v>236</v>
      </c>
      <c r="C196" s="180" t="s">
        <v>782</v>
      </c>
      <c r="D196" s="180" t="s">
        <v>783</v>
      </c>
      <c r="E196" s="180">
        <v>16.2</v>
      </c>
      <c r="F196" s="184">
        <f>BackgroundInfo1!$B$18</f>
        <v>16.175503488019412</v>
      </c>
      <c r="G196" s="180" t="s">
        <v>784</v>
      </c>
      <c r="H196" s="180" t="s">
        <v>376</v>
      </c>
      <c r="I196" s="180"/>
      <c r="J196" s="180"/>
      <c r="K196" s="180"/>
      <c r="L196" s="180"/>
      <c r="M196" s="180"/>
      <c r="N196" s="180"/>
      <c r="O196" s="180"/>
    </row>
    <row r="197" spans="1:15" ht="16" x14ac:dyDescent="0.2">
      <c r="A197" s="180" t="s">
        <v>451</v>
      </c>
      <c r="B197" s="180">
        <v>237</v>
      </c>
      <c r="C197" s="180" t="s">
        <v>785</v>
      </c>
      <c r="D197" s="180" t="s">
        <v>497</v>
      </c>
      <c r="E197" s="180">
        <v>3</v>
      </c>
      <c r="F197" s="180"/>
      <c r="G197" s="180" t="s">
        <v>786</v>
      </c>
      <c r="H197" s="180" t="s">
        <v>376</v>
      </c>
      <c r="I197" s="180"/>
      <c r="J197" s="180"/>
      <c r="K197" s="180"/>
      <c r="L197" s="180"/>
      <c r="M197" s="180"/>
      <c r="N197" s="180"/>
      <c r="O197" s="180"/>
    </row>
    <row r="198" spans="1:15" ht="16" x14ac:dyDescent="0.2">
      <c r="A198" s="180" t="s">
        <v>451</v>
      </c>
      <c r="B198" s="180">
        <v>238</v>
      </c>
      <c r="C198" s="180" t="s">
        <v>787</v>
      </c>
      <c r="D198" s="180" t="s">
        <v>378</v>
      </c>
      <c r="E198" s="180">
        <v>1</v>
      </c>
      <c r="F198" s="180"/>
      <c r="G198" s="180" t="s">
        <v>788</v>
      </c>
      <c r="H198" s="180" t="s">
        <v>376</v>
      </c>
      <c r="I198" s="180"/>
      <c r="J198" s="180"/>
      <c r="K198" s="180"/>
      <c r="L198" s="180"/>
      <c r="M198" s="180"/>
      <c r="N198" s="180"/>
      <c r="O198" s="180"/>
    </row>
    <row r="199" spans="1:15" ht="16" x14ac:dyDescent="0.2">
      <c r="A199" s="180" t="s">
        <v>329</v>
      </c>
      <c r="B199" s="180">
        <v>239</v>
      </c>
      <c r="C199" s="180" t="s">
        <v>966</v>
      </c>
      <c r="D199" s="180" t="s">
        <v>342</v>
      </c>
      <c r="E199" s="180">
        <v>2</v>
      </c>
      <c r="F199" s="180"/>
      <c r="G199" s="180" t="s">
        <v>967</v>
      </c>
      <c r="H199" s="180" t="s">
        <v>376</v>
      </c>
      <c r="I199" s="180"/>
      <c r="J199" s="180"/>
      <c r="K199" s="180"/>
      <c r="L199" s="180"/>
      <c r="M199" s="180"/>
      <c r="N199" s="180"/>
      <c r="O199" s="180"/>
    </row>
    <row r="200" spans="1:15" ht="16" x14ac:dyDescent="0.2">
      <c r="A200" s="180" t="s">
        <v>333</v>
      </c>
      <c r="B200" s="180">
        <v>242</v>
      </c>
      <c r="C200" s="180" t="s">
        <v>791</v>
      </c>
      <c r="D200" s="180" t="s">
        <v>445</v>
      </c>
      <c r="E200" s="180">
        <v>100</v>
      </c>
      <c r="F200" s="180"/>
      <c r="G200" s="180" t="s">
        <v>792</v>
      </c>
      <c r="H200" s="180" t="s">
        <v>376</v>
      </c>
      <c r="I200" s="180"/>
      <c r="J200" s="180"/>
      <c r="K200" s="180"/>
      <c r="L200" s="180"/>
      <c r="M200" s="180"/>
      <c r="N200" s="180"/>
      <c r="O200" s="180"/>
    </row>
    <row r="201" spans="1:15" ht="16" x14ac:dyDescent="0.2">
      <c r="A201" s="180" t="s">
        <v>333</v>
      </c>
      <c r="B201" s="180">
        <v>243</v>
      </c>
      <c r="C201" s="180" t="s">
        <v>793</v>
      </c>
      <c r="D201" s="180" t="s">
        <v>407</v>
      </c>
      <c r="E201" s="180">
        <v>10</v>
      </c>
      <c r="F201" s="185">
        <f>MIN(Tables34!$B$11:$C$11)</f>
        <v>10.209420743626898</v>
      </c>
      <c r="G201" s="180" t="s">
        <v>794</v>
      </c>
      <c r="H201" s="180" t="s">
        <v>376</v>
      </c>
      <c r="I201" s="180"/>
      <c r="J201" s="180"/>
      <c r="K201" s="180"/>
      <c r="L201" s="180"/>
      <c r="M201" s="180"/>
      <c r="N201" s="180"/>
      <c r="O201" s="180"/>
    </row>
    <row r="202" spans="1:15" ht="16" x14ac:dyDescent="0.2">
      <c r="A202" s="180" t="s">
        <v>333</v>
      </c>
      <c r="B202" s="180">
        <v>244</v>
      </c>
      <c r="C202" s="180" t="s">
        <v>795</v>
      </c>
      <c r="D202" s="180" t="s">
        <v>796</v>
      </c>
      <c r="E202" s="180">
        <v>-13</v>
      </c>
      <c r="F202" s="185">
        <f>MAX(Tables34!$B$11:$C$11)</f>
        <v>13.340087271208597</v>
      </c>
      <c r="G202" s="180" t="s">
        <v>797</v>
      </c>
      <c r="H202" s="180" t="s">
        <v>376</v>
      </c>
      <c r="I202" s="180"/>
      <c r="J202" s="180"/>
      <c r="K202" s="180"/>
      <c r="L202" s="180"/>
      <c r="M202" s="180"/>
      <c r="N202" s="180"/>
      <c r="O202" s="180"/>
    </row>
    <row r="203" spans="1:15" ht="16" x14ac:dyDescent="0.2">
      <c r="A203" s="180" t="s">
        <v>451</v>
      </c>
      <c r="B203" s="180">
        <v>245</v>
      </c>
      <c r="C203" s="180" t="s">
        <v>467</v>
      </c>
      <c r="D203" s="180" t="s">
        <v>497</v>
      </c>
      <c r="E203" s="180">
        <v>3</v>
      </c>
      <c r="F203" s="180"/>
      <c r="G203" s="180" t="s">
        <v>798</v>
      </c>
      <c r="H203" s="180" t="s">
        <v>376</v>
      </c>
      <c r="I203" s="180"/>
      <c r="J203" s="180"/>
      <c r="K203" s="180"/>
      <c r="L203" s="180"/>
      <c r="M203" s="180"/>
      <c r="N203" s="180"/>
      <c r="O203" s="180"/>
    </row>
    <row r="204" spans="1:15" ht="16" x14ac:dyDescent="0.2">
      <c r="A204" s="180" t="s">
        <v>333</v>
      </c>
      <c r="B204" s="180">
        <v>246</v>
      </c>
      <c r="C204" s="180" t="s">
        <v>799</v>
      </c>
      <c r="D204" s="180" t="s">
        <v>342</v>
      </c>
      <c r="E204" s="180">
        <v>2</v>
      </c>
      <c r="F204" s="185">
        <f>MIN(Tables34!$B$12:$C$12)</f>
        <v>1.888532340519693</v>
      </c>
      <c r="G204" s="180" t="s">
        <v>800</v>
      </c>
      <c r="H204" s="180" t="s">
        <v>376</v>
      </c>
      <c r="I204" s="180"/>
      <c r="J204" s="180"/>
      <c r="K204" s="180"/>
      <c r="L204" s="180"/>
      <c r="M204" s="180"/>
      <c r="N204" s="180"/>
      <c r="O204" s="180"/>
    </row>
    <row r="205" spans="1:15" ht="16" x14ac:dyDescent="0.2">
      <c r="A205" s="180" t="s">
        <v>333</v>
      </c>
      <c r="B205" s="180">
        <v>247</v>
      </c>
      <c r="C205" s="180" t="s">
        <v>801</v>
      </c>
      <c r="D205" s="180" t="s">
        <v>802</v>
      </c>
      <c r="E205" s="180">
        <v>-3</v>
      </c>
      <c r="F205" s="185">
        <f>MAX(Tables34!$B$12:$C$12)</f>
        <v>3.4465589528619587</v>
      </c>
      <c r="G205" s="180" t="s">
        <v>803</v>
      </c>
      <c r="H205" s="180" t="s">
        <v>376</v>
      </c>
      <c r="I205" s="180"/>
      <c r="J205" s="180"/>
      <c r="K205" s="180"/>
      <c r="L205" s="180"/>
      <c r="M205" s="180"/>
      <c r="N205" s="180"/>
      <c r="O205" s="180"/>
    </row>
    <row r="206" spans="1:15" ht="16" x14ac:dyDescent="0.2">
      <c r="A206" s="180" t="s">
        <v>451</v>
      </c>
      <c r="B206" s="180">
        <v>249</v>
      </c>
      <c r="C206" s="180" t="s">
        <v>806</v>
      </c>
      <c r="D206" s="180" t="s">
        <v>497</v>
      </c>
      <c r="E206" s="180">
        <v>3</v>
      </c>
      <c r="F206" s="180"/>
      <c r="G206" s="180" t="s">
        <v>807</v>
      </c>
      <c r="H206" s="180" t="s">
        <v>376</v>
      </c>
      <c r="I206" s="180"/>
      <c r="J206" s="180"/>
      <c r="K206" s="180"/>
      <c r="L206" s="180"/>
      <c r="M206" s="180"/>
      <c r="N206" s="180"/>
      <c r="O206" s="180"/>
    </row>
    <row r="207" spans="1:15" ht="16" x14ac:dyDescent="0.2">
      <c r="A207" s="180" t="s">
        <v>451</v>
      </c>
      <c r="B207" s="180">
        <v>250</v>
      </c>
      <c r="C207" s="180" t="s">
        <v>808</v>
      </c>
      <c r="D207" s="180" t="s">
        <v>497</v>
      </c>
      <c r="E207" s="180">
        <v>3</v>
      </c>
      <c r="F207" s="180"/>
      <c r="G207" s="180" t="s">
        <v>606</v>
      </c>
      <c r="H207" s="180" t="s">
        <v>376</v>
      </c>
      <c r="I207" s="180"/>
      <c r="J207" s="180"/>
      <c r="K207" s="180"/>
      <c r="L207" s="180"/>
      <c r="M207" s="180"/>
      <c r="N207" s="180"/>
      <c r="O207" s="180"/>
    </row>
    <row r="208" spans="1:15" ht="16" x14ac:dyDescent="0.2">
      <c r="A208" s="180" t="s">
        <v>451</v>
      </c>
      <c r="B208" s="180">
        <v>251</v>
      </c>
      <c r="C208" s="180" t="s">
        <v>809</v>
      </c>
      <c r="D208" s="180" t="s">
        <v>810</v>
      </c>
      <c r="E208" s="180">
        <v>3</v>
      </c>
      <c r="F208" s="180"/>
      <c r="G208" s="180"/>
      <c r="H208" s="180" t="s">
        <v>376</v>
      </c>
      <c r="I208" s="180"/>
      <c r="J208" s="180"/>
      <c r="K208" s="180"/>
      <c r="L208" s="180"/>
      <c r="M208" s="180"/>
      <c r="N208" s="180"/>
      <c r="O208" s="180"/>
    </row>
    <row r="209" spans="1:15" ht="16" x14ac:dyDescent="0.2">
      <c r="A209" s="180" t="s">
        <v>333</v>
      </c>
      <c r="B209" s="180">
        <v>253</v>
      </c>
      <c r="C209" s="180" t="s">
        <v>813</v>
      </c>
      <c r="D209" s="180" t="s">
        <v>814</v>
      </c>
      <c r="E209" s="180">
        <v>8</v>
      </c>
      <c r="F209" s="185">
        <f>AVERAGE(Tables34!$B$20:$C$20)</f>
        <v>7.8182568680930498</v>
      </c>
      <c r="G209" s="180" t="s">
        <v>815</v>
      </c>
      <c r="H209" s="180" t="s">
        <v>376</v>
      </c>
      <c r="I209" s="180"/>
      <c r="J209" s="180"/>
      <c r="K209" s="180"/>
      <c r="L209" s="180"/>
      <c r="M209" s="180"/>
      <c r="N209" s="180"/>
      <c r="O209" s="180"/>
    </row>
    <row r="210" spans="1:15" ht="16" x14ac:dyDescent="0.2">
      <c r="A210" s="180" t="s">
        <v>333</v>
      </c>
      <c r="B210" s="180">
        <v>254</v>
      </c>
      <c r="C210" s="180" t="s">
        <v>816</v>
      </c>
      <c r="D210" s="180" t="s">
        <v>541</v>
      </c>
      <c r="E210" s="180">
        <v>6</v>
      </c>
      <c r="F210" s="184">
        <f>F9</f>
        <v>6.8234366645664943</v>
      </c>
      <c r="G210" s="180" t="s">
        <v>817</v>
      </c>
      <c r="H210" s="180" t="s">
        <v>376</v>
      </c>
      <c r="I210" s="181" t="s">
        <v>1880</v>
      </c>
      <c r="J210" s="180"/>
      <c r="K210" s="180"/>
      <c r="L210" s="180"/>
      <c r="M210" s="180"/>
      <c r="N210" s="180"/>
      <c r="O210" s="180"/>
    </row>
    <row r="211" spans="1:15" ht="16" x14ac:dyDescent="0.2">
      <c r="A211" s="180" t="s">
        <v>451</v>
      </c>
      <c r="B211" s="180">
        <v>255</v>
      </c>
      <c r="C211" s="180" t="s">
        <v>818</v>
      </c>
      <c r="D211" s="180" t="s">
        <v>497</v>
      </c>
      <c r="E211" s="180">
        <v>3</v>
      </c>
      <c r="F211" s="180"/>
      <c r="G211" s="180" t="s">
        <v>819</v>
      </c>
      <c r="H211" s="180" t="s">
        <v>376</v>
      </c>
      <c r="I211" s="180"/>
      <c r="J211" s="180"/>
      <c r="K211" s="180"/>
      <c r="L211" s="180"/>
      <c r="M211" s="180"/>
      <c r="N211" s="180"/>
      <c r="O211" s="180"/>
    </row>
    <row r="212" spans="1:15" ht="16" x14ac:dyDescent="0.2">
      <c r="A212" s="180" t="s">
        <v>329</v>
      </c>
      <c r="B212" s="180">
        <v>256</v>
      </c>
      <c r="C212" s="180" t="s">
        <v>968</v>
      </c>
      <c r="D212" s="180" t="s">
        <v>342</v>
      </c>
      <c r="E212" s="180">
        <v>2</v>
      </c>
      <c r="F212" s="180"/>
      <c r="G212" s="180" t="s">
        <v>969</v>
      </c>
      <c r="H212" s="180" t="s">
        <v>376</v>
      </c>
      <c r="I212" s="180"/>
      <c r="J212" s="180"/>
      <c r="K212" s="180"/>
      <c r="L212" s="180"/>
      <c r="M212" s="180"/>
      <c r="N212" s="180"/>
      <c r="O212" s="180"/>
    </row>
    <row r="213" spans="1:15" ht="16" x14ac:dyDescent="0.2">
      <c r="A213" s="180" t="s">
        <v>333</v>
      </c>
      <c r="B213" s="180">
        <v>257</v>
      </c>
      <c r="C213" s="180" t="s">
        <v>821</v>
      </c>
      <c r="D213" s="180" t="s">
        <v>396</v>
      </c>
      <c r="E213" s="180">
        <v>15</v>
      </c>
      <c r="F213" s="180">
        <f>E44</f>
        <v>15</v>
      </c>
      <c r="G213" s="180" t="s">
        <v>822</v>
      </c>
      <c r="H213" s="180" t="s">
        <v>376</v>
      </c>
      <c r="I213" s="180"/>
      <c r="J213" s="180"/>
      <c r="K213" s="180"/>
      <c r="L213" s="180"/>
      <c r="M213" s="180"/>
      <c r="N213" s="180"/>
      <c r="O213" s="180"/>
    </row>
    <row r="214" spans="1:15" ht="16" x14ac:dyDescent="0.2">
      <c r="A214" s="180" t="s">
        <v>333</v>
      </c>
      <c r="B214" s="180">
        <v>258</v>
      </c>
      <c r="C214" s="180" t="s">
        <v>823</v>
      </c>
      <c r="D214" s="180" t="s">
        <v>404</v>
      </c>
      <c r="E214" s="180">
        <v>30</v>
      </c>
      <c r="F214" s="180">
        <f>E46</f>
        <v>30</v>
      </c>
      <c r="G214" s="180" t="s">
        <v>824</v>
      </c>
      <c r="H214" s="180" t="s">
        <v>376</v>
      </c>
      <c r="I214" s="180"/>
      <c r="J214" s="180"/>
      <c r="K214" s="180"/>
      <c r="L214" s="180"/>
      <c r="M214" s="180"/>
      <c r="N214" s="180"/>
      <c r="O214" s="180"/>
    </row>
    <row r="215" spans="1:15" ht="16" x14ac:dyDescent="0.2">
      <c r="A215" s="180" t="s">
        <v>333</v>
      </c>
      <c r="B215" s="180">
        <v>259</v>
      </c>
      <c r="C215" s="180" t="s">
        <v>825</v>
      </c>
      <c r="D215" s="180" t="s">
        <v>396</v>
      </c>
      <c r="E215" s="180">
        <v>15</v>
      </c>
      <c r="F215" s="179">
        <f>E213</f>
        <v>15</v>
      </c>
      <c r="G215" s="180" t="s">
        <v>826</v>
      </c>
      <c r="H215" s="180" t="s">
        <v>376</v>
      </c>
      <c r="I215" s="180"/>
      <c r="J215" s="180"/>
      <c r="K215" s="180"/>
      <c r="L215" s="180"/>
      <c r="M215" s="180"/>
      <c r="N215" s="180"/>
      <c r="O215" s="180"/>
    </row>
    <row r="216" spans="1:15" ht="16" x14ac:dyDescent="0.2">
      <c r="A216" s="180" t="s">
        <v>333</v>
      </c>
      <c r="B216" s="180">
        <v>260</v>
      </c>
      <c r="C216" s="180" t="s">
        <v>827</v>
      </c>
      <c r="D216" s="180" t="s">
        <v>404</v>
      </c>
      <c r="E216" s="180">
        <v>30</v>
      </c>
      <c r="F216" s="179">
        <f>E214</f>
        <v>30</v>
      </c>
      <c r="G216" s="180" t="s">
        <v>828</v>
      </c>
      <c r="H216" s="180" t="s">
        <v>376</v>
      </c>
      <c r="I216" s="180"/>
      <c r="J216" s="180"/>
      <c r="K216" s="180"/>
      <c r="L216" s="180"/>
      <c r="M216" s="180"/>
      <c r="N216" s="180"/>
      <c r="O216" s="180"/>
    </row>
    <row r="217" spans="1:15" ht="16" x14ac:dyDescent="0.2">
      <c r="A217" s="180" t="s">
        <v>333</v>
      </c>
      <c r="B217" s="180">
        <v>261</v>
      </c>
      <c r="C217" s="180" t="s">
        <v>829</v>
      </c>
      <c r="D217" s="181" t="s">
        <v>1857</v>
      </c>
      <c r="E217" s="180">
        <v>0.1</v>
      </c>
      <c r="F217" s="192">
        <f>BackgroundInfo1!$C$40</f>
        <v>0.10145052782120562</v>
      </c>
      <c r="G217" s="180" t="s">
        <v>389</v>
      </c>
      <c r="H217" s="180" t="s">
        <v>376</v>
      </c>
      <c r="I217" s="180"/>
      <c r="J217" s="180"/>
      <c r="K217" s="180"/>
      <c r="L217" s="180"/>
      <c r="M217" s="180"/>
      <c r="N217" s="180"/>
      <c r="O217" s="180"/>
    </row>
    <row r="218" spans="1:15" ht="16" x14ac:dyDescent="0.2">
      <c r="A218" s="180" t="s">
        <v>333</v>
      </c>
      <c r="B218" s="180">
        <v>262</v>
      </c>
      <c r="C218" s="180" t="s">
        <v>830</v>
      </c>
      <c r="D218" s="180" t="s">
        <v>404</v>
      </c>
      <c r="E218" s="180">
        <v>30</v>
      </c>
      <c r="F218" s="183">
        <f>BackgroundInfo1!$B$13</f>
        <v>0.29787253798337188</v>
      </c>
      <c r="G218" s="180" t="s">
        <v>831</v>
      </c>
      <c r="H218" s="180" t="s">
        <v>376</v>
      </c>
      <c r="I218" s="180"/>
      <c r="J218" s="180"/>
      <c r="K218" s="180"/>
      <c r="L218" s="180"/>
      <c r="M218" s="180"/>
      <c r="N218" s="180"/>
      <c r="O218" s="180"/>
    </row>
    <row r="219" spans="1:15" ht="16" x14ac:dyDescent="0.2">
      <c r="A219" s="180" t="s">
        <v>333</v>
      </c>
      <c r="B219" s="180">
        <v>263</v>
      </c>
      <c r="C219" s="180" t="s">
        <v>832</v>
      </c>
      <c r="D219" s="180" t="s">
        <v>833</v>
      </c>
      <c r="E219" s="180">
        <v>29.8</v>
      </c>
      <c r="F219" s="186">
        <f>F218</f>
        <v>0.29787253798337188</v>
      </c>
      <c r="G219" s="180" t="s">
        <v>834</v>
      </c>
      <c r="H219" s="180" t="s">
        <v>376</v>
      </c>
      <c r="I219" s="180"/>
      <c r="J219" s="180"/>
      <c r="K219" s="180"/>
      <c r="L219" s="180"/>
      <c r="M219" s="180"/>
      <c r="N219" s="180"/>
      <c r="O219" s="180"/>
    </row>
    <row r="220" spans="1:15" ht="16" x14ac:dyDescent="0.2">
      <c r="A220" s="180" t="s">
        <v>333</v>
      </c>
      <c r="B220" s="180">
        <v>264</v>
      </c>
      <c r="C220" s="180" t="s">
        <v>835</v>
      </c>
      <c r="D220" s="180" t="s">
        <v>836</v>
      </c>
      <c r="E220" s="180">
        <v>25</v>
      </c>
      <c r="F220" s="183">
        <f>Pharmacy!$F$24</f>
        <v>0.25319165728586607</v>
      </c>
      <c r="G220" s="180" t="s">
        <v>837</v>
      </c>
      <c r="H220" s="180" t="s">
        <v>376</v>
      </c>
      <c r="I220" s="183" t="str">
        <f>Pharmacy!$F$23</f>
        <v>PBM Transparency Act</v>
      </c>
      <c r="J220" s="180"/>
      <c r="K220" s="180"/>
      <c r="L220" s="180"/>
      <c r="M220" s="180"/>
      <c r="N220" s="180"/>
      <c r="O220" s="180"/>
    </row>
    <row r="221" spans="1:15" ht="16" x14ac:dyDescent="0.2">
      <c r="A221" s="180" t="s">
        <v>333</v>
      </c>
      <c r="B221" s="180">
        <v>265</v>
      </c>
      <c r="C221" s="180" t="s">
        <v>838</v>
      </c>
      <c r="D221" s="180" t="s">
        <v>839</v>
      </c>
      <c r="E221" s="180">
        <v>0.25</v>
      </c>
      <c r="F221" s="192">
        <f>F220</f>
        <v>0.25319165728586607</v>
      </c>
      <c r="G221" s="180" t="s">
        <v>840</v>
      </c>
      <c r="H221" s="180" t="s">
        <v>376</v>
      </c>
      <c r="I221" s="180"/>
      <c r="J221" s="180"/>
      <c r="K221" s="180"/>
      <c r="L221" s="180"/>
      <c r="M221" s="180"/>
      <c r="N221" s="180"/>
      <c r="O221" s="180"/>
    </row>
    <row r="222" spans="1:15" ht="16" x14ac:dyDescent="0.2">
      <c r="A222" s="180" t="s">
        <v>333</v>
      </c>
      <c r="B222" s="180">
        <v>267</v>
      </c>
      <c r="C222" s="180" t="s">
        <v>841</v>
      </c>
      <c r="D222" s="180" t="s">
        <v>842</v>
      </c>
      <c r="E222" s="180">
        <v>0.29799999999999999</v>
      </c>
      <c r="F222" s="191">
        <f>F219</f>
        <v>0.29787253798337188</v>
      </c>
      <c r="G222" s="180" t="s">
        <v>843</v>
      </c>
      <c r="H222" s="180" t="s">
        <v>376</v>
      </c>
      <c r="I222" s="180"/>
      <c r="J222" s="180"/>
      <c r="K222" s="180"/>
      <c r="L222" s="180"/>
      <c r="M222" s="180"/>
      <c r="N222" s="180"/>
      <c r="O222" s="180"/>
    </row>
    <row r="223" spans="1:15" ht="16" x14ac:dyDescent="0.2">
      <c r="A223" s="180" t="s">
        <v>333</v>
      </c>
      <c r="B223" s="180">
        <v>268</v>
      </c>
      <c r="C223" s="180" t="s">
        <v>844</v>
      </c>
      <c r="D223" s="180" t="s">
        <v>845</v>
      </c>
      <c r="E223" s="180">
        <v>29</v>
      </c>
      <c r="F223" s="186">
        <f>Pharmacy!$D$24</f>
        <v>0.29333963905309357</v>
      </c>
      <c r="G223" s="180" t="s">
        <v>846</v>
      </c>
      <c r="H223" s="180" t="s">
        <v>376</v>
      </c>
      <c r="I223" s="183" t="str">
        <f>Pharmacy!$D$23</f>
        <v>Part D</v>
      </c>
      <c r="J223" s="180"/>
      <c r="K223" s="180"/>
      <c r="L223" s="180"/>
      <c r="M223" s="180"/>
      <c r="N223" s="180"/>
      <c r="O223" s="180"/>
    </row>
    <row r="224" spans="1:15" ht="16" x14ac:dyDescent="0.2">
      <c r="A224" s="180" t="s">
        <v>333</v>
      </c>
      <c r="B224" s="180">
        <v>269</v>
      </c>
      <c r="C224" s="180" t="s">
        <v>847</v>
      </c>
      <c r="D224" s="180" t="s">
        <v>848</v>
      </c>
      <c r="E224" s="180">
        <v>0.28999999999999998</v>
      </c>
      <c r="F224" s="192">
        <f>F223</f>
        <v>0.29333963905309357</v>
      </c>
      <c r="G224" s="180" t="s">
        <v>849</v>
      </c>
      <c r="H224" s="180" t="s">
        <v>376</v>
      </c>
      <c r="I224" s="180"/>
      <c r="J224" s="180"/>
      <c r="K224" s="180"/>
      <c r="L224" s="180"/>
      <c r="M224" s="180"/>
      <c r="N224" s="180"/>
      <c r="O224" s="180"/>
    </row>
    <row r="225" spans="1:15" ht="16" x14ac:dyDescent="0.2">
      <c r="A225" s="180" t="s">
        <v>333</v>
      </c>
      <c r="B225" s="180">
        <v>271</v>
      </c>
      <c r="C225" s="180" t="s">
        <v>850</v>
      </c>
      <c r="D225" s="181" t="s">
        <v>1857</v>
      </c>
      <c r="E225" s="180">
        <v>0.1</v>
      </c>
      <c r="F225" s="180">
        <f>E217</f>
        <v>0.1</v>
      </c>
      <c r="G225" s="180" t="s">
        <v>851</v>
      </c>
      <c r="H225" s="180" t="s">
        <v>376</v>
      </c>
      <c r="I225" s="180"/>
      <c r="J225" s="180"/>
      <c r="K225" s="180"/>
      <c r="L225" s="180"/>
      <c r="M225" s="180"/>
      <c r="N225" s="180"/>
      <c r="O225" s="180"/>
    </row>
    <row r="226" spans="1:15" ht="16" x14ac:dyDescent="0.2">
      <c r="A226" s="180" t="s">
        <v>333</v>
      </c>
      <c r="B226" s="180">
        <v>272</v>
      </c>
      <c r="C226" s="180" t="s">
        <v>852</v>
      </c>
      <c r="D226" s="180" t="s">
        <v>842</v>
      </c>
      <c r="E226" s="180">
        <v>0.29799999999999999</v>
      </c>
      <c r="F226" s="180">
        <f>E222</f>
        <v>0.29799999999999999</v>
      </c>
      <c r="G226" s="180" t="s">
        <v>853</v>
      </c>
      <c r="H226" s="180" t="s">
        <v>376</v>
      </c>
      <c r="I226" s="180"/>
      <c r="J226" s="180"/>
      <c r="K226" s="180"/>
      <c r="L226" s="180"/>
      <c r="M226" s="180"/>
      <c r="N226" s="180"/>
      <c r="O226" s="180"/>
    </row>
    <row r="227" spans="1:15" ht="16" x14ac:dyDescent="0.2">
      <c r="A227" s="180" t="s">
        <v>451</v>
      </c>
      <c r="B227" s="180">
        <v>273</v>
      </c>
      <c r="C227" s="180" t="s">
        <v>854</v>
      </c>
      <c r="D227" s="180" t="s">
        <v>697</v>
      </c>
      <c r="E227" s="180">
        <v>4</v>
      </c>
      <c r="F227" s="180"/>
      <c r="G227" s="180" t="s">
        <v>855</v>
      </c>
      <c r="H227" s="180" t="s">
        <v>376</v>
      </c>
      <c r="I227" s="180"/>
      <c r="J227" s="180"/>
      <c r="K227" s="180"/>
      <c r="L227" s="180"/>
      <c r="M227" s="180"/>
      <c r="N227" s="180"/>
      <c r="O227" s="180"/>
    </row>
    <row r="228" spans="1:15" ht="16" x14ac:dyDescent="0.2">
      <c r="A228" s="180" t="s">
        <v>333</v>
      </c>
      <c r="B228" s="180">
        <v>276</v>
      </c>
      <c r="C228" s="180" t="s">
        <v>791</v>
      </c>
      <c r="D228" s="180" t="s">
        <v>445</v>
      </c>
      <c r="E228" s="180">
        <v>100</v>
      </c>
      <c r="F228" s="180"/>
      <c r="G228" s="180" t="s">
        <v>792</v>
      </c>
      <c r="H228" s="180" t="s">
        <v>376</v>
      </c>
      <c r="I228" s="180"/>
      <c r="J228" s="180"/>
      <c r="K228" s="180"/>
      <c r="L228" s="180"/>
      <c r="M228" s="180"/>
      <c r="N228" s="180"/>
      <c r="O228" s="180"/>
    </row>
    <row r="229" spans="1:15" ht="16" x14ac:dyDescent="0.2">
      <c r="A229" s="180" t="s">
        <v>333</v>
      </c>
      <c r="B229" s="180">
        <v>277</v>
      </c>
      <c r="C229" s="180" t="s">
        <v>858</v>
      </c>
      <c r="D229" s="180" t="s">
        <v>859</v>
      </c>
      <c r="E229" s="180">
        <v>0.5</v>
      </c>
      <c r="F229" s="184">
        <f>MIN(Tables34!$B$46:$C$46)</f>
        <v>0.49157002972084402</v>
      </c>
      <c r="G229" s="180" t="s">
        <v>860</v>
      </c>
      <c r="H229" s="180" t="s">
        <v>376</v>
      </c>
      <c r="I229" s="180"/>
      <c r="J229" s="180"/>
      <c r="K229" s="180"/>
      <c r="L229" s="180"/>
      <c r="M229" s="180"/>
      <c r="N229" s="180"/>
      <c r="O229" s="180"/>
    </row>
    <row r="230" spans="1:15" ht="16" x14ac:dyDescent="0.2">
      <c r="A230" s="180" t="s">
        <v>333</v>
      </c>
      <c r="B230" s="180">
        <v>278</v>
      </c>
      <c r="C230" s="180" t="s">
        <v>861</v>
      </c>
      <c r="D230" s="180" t="s">
        <v>862</v>
      </c>
      <c r="E230" s="180">
        <v>0.6</v>
      </c>
      <c r="F230" s="184">
        <f>MAX(Tables34!$B$46:$C$46)</f>
        <v>0.6438307960491001</v>
      </c>
      <c r="G230" s="180" t="s">
        <v>693</v>
      </c>
      <c r="H230" s="180" t="s">
        <v>376</v>
      </c>
      <c r="I230" s="180"/>
      <c r="J230" s="180"/>
      <c r="K230" s="180"/>
      <c r="L230" s="180"/>
      <c r="M230" s="180"/>
      <c r="N230" s="180"/>
      <c r="O230" s="180"/>
    </row>
    <row r="231" spans="1:15" ht="16" x14ac:dyDescent="0.2">
      <c r="A231" s="180" t="s">
        <v>333</v>
      </c>
      <c r="B231" s="180">
        <v>280</v>
      </c>
      <c r="C231" s="180" t="s">
        <v>863</v>
      </c>
      <c r="D231" s="180" t="s">
        <v>544</v>
      </c>
      <c r="E231" s="180">
        <v>7</v>
      </c>
      <c r="F231" s="185">
        <f>F9</f>
        <v>6.8234366645664943</v>
      </c>
      <c r="G231" s="180" t="s">
        <v>864</v>
      </c>
      <c r="H231" s="180" t="s">
        <v>376</v>
      </c>
      <c r="I231" s="180"/>
      <c r="J231" s="180"/>
      <c r="K231" s="180"/>
      <c r="L231" s="180"/>
      <c r="M231" s="180"/>
      <c r="N231" s="180"/>
      <c r="O231" s="180"/>
    </row>
    <row r="232" spans="1:15" ht="16" x14ac:dyDescent="0.2">
      <c r="A232" s="180" t="s">
        <v>329</v>
      </c>
      <c r="B232" s="180">
        <v>281</v>
      </c>
      <c r="C232" s="180" t="s">
        <v>977</v>
      </c>
      <c r="D232" s="180" t="s">
        <v>342</v>
      </c>
      <c r="E232" s="180">
        <v>2</v>
      </c>
      <c r="F232" s="180"/>
      <c r="G232" s="180" t="s">
        <v>978</v>
      </c>
      <c r="H232" s="180" t="s">
        <v>376</v>
      </c>
      <c r="I232" s="180"/>
      <c r="J232" s="180"/>
      <c r="K232" s="180"/>
      <c r="L232" s="180"/>
      <c r="M232" s="180"/>
      <c r="N232" s="180"/>
      <c r="O232" s="180"/>
    </row>
    <row r="233" spans="1:15" ht="16" x14ac:dyDescent="0.2">
      <c r="A233" s="180" t="s">
        <v>333</v>
      </c>
      <c r="B233" s="180">
        <v>282</v>
      </c>
      <c r="C233" s="180" t="s">
        <v>867</v>
      </c>
      <c r="D233" s="180" t="s">
        <v>868</v>
      </c>
      <c r="E233" s="180">
        <v>120</v>
      </c>
      <c r="F233" s="180">
        <f>-ROUND(1000*Tables34!C41,-1)</f>
        <v>120</v>
      </c>
      <c r="G233" s="180" t="s">
        <v>1858</v>
      </c>
      <c r="H233" s="180" t="s">
        <v>376</v>
      </c>
      <c r="I233" s="180"/>
      <c r="J233" s="180"/>
      <c r="K233" s="180"/>
      <c r="L233" s="180"/>
      <c r="M233" s="180"/>
      <c r="N233" s="180"/>
      <c r="O233" s="180"/>
    </row>
    <row r="234" spans="1:15" ht="16" x14ac:dyDescent="0.2">
      <c r="A234" s="180" t="s">
        <v>333</v>
      </c>
      <c r="B234" s="180">
        <v>283</v>
      </c>
      <c r="C234" s="180" t="s">
        <v>1859</v>
      </c>
      <c r="D234" s="180" t="s">
        <v>869</v>
      </c>
      <c r="E234" s="180">
        <v>6</v>
      </c>
      <c r="F234" s="180">
        <f>F235/F233</f>
        <v>6.333333333333333</v>
      </c>
      <c r="G234" s="180" t="s">
        <v>1860</v>
      </c>
      <c r="H234" s="180" t="s">
        <v>376</v>
      </c>
      <c r="I234" s="180"/>
      <c r="J234" s="180"/>
      <c r="K234" s="180"/>
      <c r="L234" s="180"/>
      <c r="M234" s="180"/>
      <c r="N234" s="180"/>
      <c r="O234" s="180"/>
    </row>
    <row r="235" spans="1:15" ht="16" x14ac:dyDescent="0.2">
      <c r="A235" s="180" t="s">
        <v>333</v>
      </c>
      <c r="B235" s="180">
        <v>284</v>
      </c>
      <c r="C235" s="180" t="s">
        <v>1861</v>
      </c>
      <c r="D235" s="180" t="s">
        <v>870</v>
      </c>
      <c r="E235" s="180">
        <v>760</v>
      </c>
      <c r="F235" s="180">
        <f>ROUND(1000*(Tables34!C46-Tables34!C41),-1)</f>
        <v>760</v>
      </c>
      <c r="G235" s="180" t="s">
        <v>871</v>
      </c>
      <c r="H235" s="180" t="s">
        <v>376</v>
      </c>
      <c r="I235" s="180"/>
      <c r="J235" s="180"/>
      <c r="K235" s="180"/>
      <c r="L235" s="180"/>
      <c r="M235" s="180"/>
      <c r="N235" s="180"/>
      <c r="O235" s="180"/>
    </row>
    <row r="236" spans="1:15" ht="16" x14ac:dyDescent="0.2">
      <c r="A236" s="180" t="s">
        <v>333</v>
      </c>
      <c r="B236" s="180">
        <v>285</v>
      </c>
      <c r="C236" s="180" t="s">
        <v>1862</v>
      </c>
      <c r="D236" s="180" t="s">
        <v>872</v>
      </c>
      <c r="E236" s="180">
        <v>640</v>
      </c>
      <c r="F236" s="180">
        <f>ROUND(1000*(Tables34!C46),-1)</f>
        <v>640</v>
      </c>
      <c r="G236" s="180" t="s">
        <v>792</v>
      </c>
      <c r="H236" s="180" t="s">
        <v>376</v>
      </c>
      <c r="I236" s="180"/>
      <c r="J236" s="180"/>
      <c r="K236" s="180"/>
      <c r="L236" s="180"/>
      <c r="M236" s="180"/>
      <c r="N236" s="180"/>
      <c r="O236" s="180"/>
    </row>
    <row r="237" spans="1:15" ht="16" x14ac:dyDescent="0.2">
      <c r="A237" s="180" t="s">
        <v>739</v>
      </c>
      <c r="B237" s="180">
        <v>286</v>
      </c>
      <c r="C237" s="180" t="s">
        <v>873</v>
      </c>
      <c r="D237" s="180" t="s">
        <v>342</v>
      </c>
      <c r="E237" s="180">
        <v>2</v>
      </c>
      <c r="F237" s="180"/>
      <c r="G237" s="180" t="s">
        <v>874</v>
      </c>
      <c r="H237" s="180" t="s">
        <v>376</v>
      </c>
      <c r="I237" s="180"/>
      <c r="J237" s="180"/>
      <c r="K237" s="180"/>
      <c r="L237" s="180"/>
      <c r="M237" s="180"/>
      <c r="N237" s="180"/>
      <c r="O237" s="180"/>
    </row>
    <row r="238" spans="1:15" ht="16" x14ac:dyDescent="0.2">
      <c r="A238" s="180" t="s">
        <v>333</v>
      </c>
      <c r="B238" s="180">
        <v>287</v>
      </c>
      <c r="C238" s="180" t="s">
        <v>875</v>
      </c>
      <c r="D238" s="180" t="s">
        <v>737</v>
      </c>
      <c r="E238" s="180">
        <v>2023</v>
      </c>
      <c r="F238" s="180"/>
      <c r="G238" s="180" t="s">
        <v>876</v>
      </c>
      <c r="H238" s="180" t="s">
        <v>376</v>
      </c>
      <c r="I238" s="180"/>
      <c r="J238" s="180"/>
      <c r="K238" s="180"/>
      <c r="L238" s="180"/>
      <c r="M238" s="180"/>
      <c r="N238" s="180"/>
      <c r="O238" s="180"/>
    </row>
    <row r="239" spans="1:15" ht="16" x14ac:dyDescent="0.2">
      <c r="A239" s="180" t="s">
        <v>333</v>
      </c>
      <c r="B239" s="180">
        <v>288</v>
      </c>
      <c r="C239" s="180" t="s">
        <v>877</v>
      </c>
      <c r="D239" s="180" t="s">
        <v>347</v>
      </c>
      <c r="E239" s="180">
        <v>2</v>
      </c>
      <c r="F239" s="180"/>
      <c r="G239" s="180" t="s">
        <v>743</v>
      </c>
      <c r="H239" s="180" t="s">
        <v>376</v>
      </c>
      <c r="I239" s="180"/>
      <c r="J239" s="180"/>
      <c r="K239" s="180"/>
      <c r="L239" s="180"/>
      <c r="M239" s="180"/>
      <c r="N239" s="180"/>
      <c r="O239" s="180"/>
    </row>
    <row r="240" spans="1:15" ht="16" x14ac:dyDescent="0.2">
      <c r="A240" s="180" t="s">
        <v>333</v>
      </c>
      <c r="B240" s="180">
        <v>289</v>
      </c>
      <c r="C240" s="180" t="s">
        <v>878</v>
      </c>
      <c r="D240" s="180" t="s">
        <v>364</v>
      </c>
      <c r="E240" s="180">
        <v>1</v>
      </c>
      <c r="F240" s="180"/>
      <c r="G240" s="180" t="s">
        <v>745</v>
      </c>
      <c r="H240" s="180" t="s">
        <v>376</v>
      </c>
      <c r="I240" s="180"/>
      <c r="J240" s="180"/>
      <c r="K240" s="180"/>
      <c r="L240" s="180"/>
      <c r="M240" s="180"/>
      <c r="N240" s="180"/>
      <c r="O240" s="180"/>
    </row>
    <row r="241" spans="1:15" ht="16" x14ac:dyDescent="0.2">
      <c r="A241" s="180" t="s">
        <v>739</v>
      </c>
      <c r="B241" s="180">
        <v>290</v>
      </c>
      <c r="C241" s="180" t="s">
        <v>879</v>
      </c>
      <c r="D241" s="180" t="s">
        <v>342</v>
      </c>
      <c r="E241" s="180">
        <v>2</v>
      </c>
      <c r="F241" s="180"/>
      <c r="G241" s="180" t="s">
        <v>880</v>
      </c>
      <c r="H241" s="180" t="s">
        <v>376</v>
      </c>
      <c r="I241" s="180"/>
      <c r="J241" s="180"/>
      <c r="K241" s="180"/>
      <c r="L241" s="180"/>
      <c r="M241" s="180"/>
      <c r="N241" s="180"/>
      <c r="O241" s="180"/>
    </row>
    <row r="242" spans="1:15" ht="16" x14ac:dyDescent="0.2">
      <c r="A242" s="180" t="s">
        <v>333</v>
      </c>
      <c r="B242" s="180">
        <v>291</v>
      </c>
      <c r="C242" s="180" t="s">
        <v>881</v>
      </c>
      <c r="D242" s="180" t="s">
        <v>882</v>
      </c>
      <c r="E242" s="180">
        <v>2015</v>
      </c>
      <c r="F242" s="180"/>
      <c r="G242" s="180" t="s">
        <v>883</v>
      </c>
      <c r="H242" s="180" t="s">
        <v>376</v>
      </c>
      <c r="I242" s="180"/>
      <c r="J242" s="180"/>
      <c r="K242" s="180"/>
      <c r="L242" s="180"/>
      <c r="M242" s="180"/>
      <c r="N242" s="180"/>
      <c r="O242" s="180"/>
    </row>
    <row r="243" spans="1:15" ht="16" x14ac:dyDescent="0.2">
      <c r="A243" s="180" t="s">
        <v>333</v>
      </c>
      <c r="B243" s="180">
        <v>292</v>
      </c>
      <c r="C243" s="180" t="s">
        <v>546</v>
      </c>
      <c r="D243" s="180" t="s">
        <v>347</v>
      </c>
      <c r="E243" s="180">
        <v>2</v>
      </c>
      <c r="F243" s="180"/>
      <c r="G243" s="180" t="s">
        <v>884</v>
      </c>
      <c r="H243" s="180" t="s">
        <v>376</v>
      </c>
      <c r="I243" s="180"/>
      <c r="J243" s="180"/>
      <c r="K243" s="180"/>
      <c r="L243" s="180"/>
      <c r="M243" s="180"/>
      <c r="N243" s="180"/>
      <c r="O243" s="180"/>
    </row>
    <row r="244" spans="1:15" ht="16" x14ac:dyDescent="0.2">
      <c r="A244" s="180" t="s">
        <v>333</v>
      </c>
      <c r="B244" s="180">
        <v>293</v>
      </c>
      <c r="C244" s="180" t="s">
        <v>885</v>
      </c>
      <c r="D244" s="180" t="s">
        <v>886</v>
      </c>
      <c r="E244" s="180">
        <v>1996</v>
      </c>
      <c r="F244" s="180"/>
      <c r="G244" s="180" t="s">
        <v>887</v>
      </c>
      <c r="H244" s="180" t="s">
        <v>376</v>
      </c>
      <c r="I244" s="180"/>
      <c r="J244" s="180"/>
      <c r="K244" s="180"/>
      <c r="L244" s="180"/>
      <c r="M244" s="180"/>
      <c r="N244" s="180"/>
      <c r="O244" s="180"/>
    </row>
    <row r="245" spans="1:15" ht="16" x14ac:dyDescent="0.2">
      <c r="A245" s="180" t="s">
        <v>333</v>
      </c>
      <c r="B245" s="180">
        <v>294</v>
      </c>
      <c r="C245" s="180" t="s">
        <v>888</v>
      </c>
      <c r="D245" s="180" t="s">
        <v>836</v>
      </c>
      <c r="E245" s="180">
        <v>25</v>
      </c>
      <c r="F245" s="180"/>
      <c r="G245" s="180" t="s">
        <v>889</v>
      </c>
      <c r="H245" s="180" t="s">
        <v>376</v>
      </c>
      <c r="J245" s="180" t="s">
        <v>1863</v>
      </c>
      <c r="K245" s="180"/>
      <c r="L245" s="180"/>
      <c r="M245" s="180"/>
      <c r="N245" s="180"/>
      <c r="O245" s="180"/>
    </row>
    <row r="246" spans="1:15" ht="16" x14ac:dyDescent="0.2">
      <c r="A246" s="180" t="s">
        <v>739</v>
      </c>
      <c r="B246" s="180">
        <v>295</v>
      </c>
      <c r="C246" s="180" t="s">
        <v>890</v>
      </c>
      <c r="D246" s="180" t="s">
        <v>342</v>
      </c>
      <c r="E246" s="180">
        <v>2</v>
      </c>
      <c r="F246" s="180"/>
      <c r="G246" s="180" t="s">
        <v>891</v>
      </c>
      <c r="H246" s="180" t="s">
        <v>376</v>
      </c>
      <c r="I246" s="180"/>
      <c r="J246" s="180"/>
      <c r="K246" s="180"/>
      <c r="L246" s="180"/>
      <c r="M246" s="180"/>
      <c r="N246" s="180"/>
      <c r="O246" s="180"/>
    </row>
    <row r="247" spans="1:15" ht="16" x14ac:dyDescent="0.2">
      <c r="A247" s="180" t="s">
        <v>333</v>
      </c>
      <c r="B247" s="180">
        <v>296</v>
      </c>
      <c r="C247" s="180" t="s">
        <v>892</v>
      </c>
      <c r="D247" s="180" t="s">
        <v>393</v>
      </c>
      <c r="E247" s="180">
        <v>3</v>
      </c>
      <c r="F247" s="180"/>
      <c r="G247" s="180" t="s">
        <v>893</v>
      </c>
      <c r="H247" s="180" t="s">
        <v>376</v>
      </c>
      <c r="I247" s="180" t="s">
        <v>1830</v>
      </c>
      <c r="J247" s="180"/>
      <c r="K247" s="180"/>
      <c r="L247" s="180"/>
      <c r="M247" s="180"/>
      <c r="N247" s="180"/>
      <c r="O247" s="180"/>
    </row>
    <row r="248" spans="1:15" ht="16" x14ac:dyDescent="0.2">
      <c r="A248" s="180" t="s">
        <v>333</v>
      </c>
      <c r="B248" s="180">
        <v>297</v>
      </c>
      <c r="C248" s="180" t="s">
        <v>894</v>
      </c>
      <c r="D248" s="180" t="s">
        <v>364</v>
      </c>
      <c r="E248" s="180">
        <v>1</v>
      </c>
      <c r="F248" s="180"/>
      <c r="G248" s="180" t="s">
        <v>895</v>
      </c>
      <c r="H248" s="180" t="s">
        <v>376</v>
      </c>
      <c r="I248" s="180" t="s">
        <v>1830</v>
      </c>
      <c r="J248" s="180"/>
      <c r="K248" s="180"/>
      <c r="L248" s="180"/>
      <c r="M248" s="180"/>
      <c r="N248" s="180"/>
      <c r="O248" s="180"/>
    </row>
    <row r="249" spans="1:15" ht="16" x14ac:dyDescent="0.2">
      <c r="A249" s="180" t="s">
        <v>333</v>
      </c>
      <c r="B249" s="180">
        <v>298</v>
      </c>
      <c r="C249" s="180" t="s">
        <v>896</v>
      </c>
      <c r="D249" s="180" t="s">
        <v>897</v>
      </c>
      <c r="E249" s="180">
        <v>20</v>
      </c>
      <c r="F249" s="180"/>
      <c r="G249" s="180" t="s">
        <v>898</v>
      </c>
      <c r="H249" s="180" t="s">
        <v>376</v>
      </c>
      <c r="I249" s="180" t="s">
        <v>1830</v>
      </c>
      <c r="J249" s="180"/>
      <c r="K249" s="180"/>
      <c r="L249" s="180"/>
      <c r="M249" s="180"/>
      <c r="N249" s="180"/>
      <c r="O249" s="180"/>
    </row>
    <row r="250" spans="1:15" ht="16" x14ac:dyDescent="0.2">
      <c r="A250" s="180" t="s">
        <v>333</v>
      </c>
      <c r="B250" s="180">
        <v>299</v>
      </c>
      <c r="C250" s="180" t="s">
        <v>899</v>
      </c>
      <c r="D250" s="180" t="s">
        <v>404</v>
      </c>
      <c r="E250" s="180">
        <v>30</v>
      </c>
      <c r="F250" s="180"/>
      <c r="G250" s="180" t="s">
        <v>900</v>
      </c>
      <c r="H250" s="180" t="s">
        <v>376</v>
      </c>
      <c r="I250" s="180" t="s">
        <v>1830</v>
      </c>
      <c r="J250" s="180"/>
      <c r="K250" s="180"/>
      <c r="L250" s="180"/>
      <c r="M250" s="180"/>
      <c r="N250" s="180"/>
      <c r="O250" s="180"/>
    </row>
    <row r="251" spans="1:15" ht="16" x14ac:dyDescent="0.2">
      <c r="A251" s="180" t="s">
        <v>333</v>
      </c>
      <c r="B251" s="180">
        <v>300</v>
      </c>
      <c r="C251" s="180" t="s">
        <v>901</v>
      </c>
      <c r="D251" s="180" t="s">
        <v>344</v>
      </c>
      <c r="E251" s="180"/>
      <c r="F251" s="180"/>
      <c r="G251" s="180" t="s">
        <v>902</v>
      </c>
      <c r="H251" s="180" t="s">
        <v>376</v>
      </c>
      <c r="I251" s="180" t="s">
        <v>1830</v>
      </c>
      <c r="J251" s="180"/>
      <c r="K251" s="180"/>
      <c r="L251" s="180"/>
      <c r="M251" s="180"/>
      <c r="N251" s="180"/>
      <c r="O251" s="180"/>
    </row>
    <row r="252" spans="1:15" ht="16" x14ac:dyDescent="0.2">
      <c r="A252" s="180" t="s">
        <v>333</v>
      </c>
      <c r="B252" s="180">
        <v>301</v>
      </c>
      <c r="C252" s="180" t="s">
        <v>903</v>
      </c>
      <c r="D252" s="180" t="s">
        <v>904</v>
      </c>
      <c r="E252" s="180">
        <v>40</v>
      </c>
      <c r="F252" s="180"/>
      <c r="G252" s="180" t="s">
        <v>339</v>
      </c>
      <c r="H252" s="180" t="s">
        <v>376</v>
      </c>
      <c r="I252" s="180" t="s">
        <v>1830</v>
      </c>
      <c r="J252" s="180"/>
      <c r="K252" s="180"/>
      <c r="L252" s="180"/>
      <c r="M252" s="180"/>
      <c r="N252" s="180"/>
      <c r="O252" s="180"/>
    </row>
    <row r="253" spans="1:15" ht="16" x14ac:dyDescent="0.2">
      <c r="A253" s="180" t="s">
        <v>333</v>
      </c>
      <c r="B253" s="180">
        <v>302</v>
      </c>
      <c r="C253" s="180" t="s">
        <v>905</v>
      </c>
      <c r="D253" s="180" t="s">
        <v>344</v>
      </c>
      <c r="E253" s="180"/>
      <c r="F253" s="180"/>
      <c r="G253" s="180" t="s">
        <v>906</v>
      </c>
      <c r="H253" s="180" t="s">
        <v>376</v>
      </c>
      <c r="I253" s="180"/>
      <c r="J253" s="180"/>
      <c r="K253" s="180"/>
      <c r="L253" s="180"/>
      <c r="M253" s="180"/>
      <c r="N253" s="180"/>
      <c r="O253" s="180"/>
    </row>
    <row r="254" spans="1:15" ht="16" x14ac:dyDescent="0.2">
      <c r="A254" s="180" t="s">
        <v>333</v>
      </c>
      <c r="B254" s="180">
        <v>303</v>
      </c>
      <c r="C254" s="180" t="s">
        <v>907</v>
      </c>
      <c r="D254" s="180" t="s">
        <v>407</v>
      </c>
      <c r="E254" s="180">
        <v>10</v>
      </c>
      <c r="F254" s="180">
        <f>E250-E249</f>
        <v>10</v>
      </c>
      <c r="G254" s="180" t="s">
        <v>908</v>
      </c>
      <c r="H254" s="180" t="s">
        <v>376</v>
      </c>
      <c r="I254" s="180"/>
      <c r="J254" s="180"/>
      <c r="K254" s="180"/>
      <c r="L254" s="180"/>
      <c r="M254" s="180"/>
      <c r="N254" s="180"/>
      <c r="O254" s="180"/>
    </row>
    <row r="255" spans="1:15" ht="16" x14ac:dyDescent="0.2">
      <c r="A255" s="180" t="s">
        <v>333</v>
      </c>
      <c r="B255" s="180">
        <v>304</v>
      </c>
      <c r="C255" s="180" t="s">
        <v>909</v>
      </c>
      <c r="D255" s="180" t="s">
        <v>910</v>
      </c>
      <c r="E255" s="180">
        <v>21</v>
      </c>
      <c r="F255" s="180"/>
      <c r="G255" s="180" t="s">
        <v>911</v>
      </c>
      <c r="H255" s="180" t="s">
        <v>376</v>
      </c>
      <c r="I255" s="180" t="s">
        <v>1830</v>
      </c>
      <c r="J255" s="180"/>
      <c r="K255" s="180"/>
      <c r="L255" s="180"/>
      <c r="M255" s="180"/>
      <c r="N255" s="180"/>
      <c r="O255" s="180"/>
    </row>
    <row r="256" spans="1:15" ht="16" x14ac:dyDescent="0.2">
      <c r="A256" s="180" t="s">
        <v>333</v>
      </c>
      <c r="B256" s="180">
        <v>305</v>
      </c>
      <c r="C256" s="180" t="s">
        <v>912</v>
      </c>
      <c r="D256" s="180" t="s">
        <v>344</v>
      </c>
      <c r="E256" s="180"/>
      <c r="F256" s="180"/>
      <c r="G256" s="180" t="s">
        <v>913</v>
      </c>
      <c r="H256" s="180" t="s">
        <v>376</v>
      </c>
      <c r="I256" s="180"/>
      <c r="J256" s="180"/>
      <c r="K256" s="180"/>
      <c r="L256" s="180"/>
      <c r="M256" s="180"/>
      <c r="N256" s="180"/>
      <c r="O256" s="180"/>
    </row>
    <row r="257" spans="1:15" ht="16" x14ac:dyDescent="0.2">
      <c r="A257" s="180" t="s">
        <v>333</v>
      </c>
      <c r="B257" s="180">
        <v>306</v>
      </c>
      <c r="C257" s="180" t="s">
        <v>914</v>
      </c>
      <c r="D257" s="180" t="s">
        <v>687</v>
      </c>
      <c r="E257" s="180">
        <v>22</v>
      </c>
      <c r="F257" s="180"/>
      <c r="G257" s="180" t="s">
        <v>339</v>
      </c>
      <c r="H257" s="180" t="s">
        <v>376</v>
      </c>
      <c r="I257" s="180" t="s">
        <v>1830</v>
      </c>
      <c r="J257" s="180"/>
      <c r="K257" s="180"/>
      <c r="L257" s="180"/>
      <c r="M257" s="180"/>
      <c r="N257" s="180"/>
      <c r="O257" s="180"/>
    </row>
    <row r="258" spans="1:15" ht="16" x14ac:dyDescent="0.2">
      <c r="A258" s="180" t="s">
        <v>333</v>
      </c>
      <c r="B258" s="180">
        <v>307</v>
      </c>
      <c r="C258" s="180" t="s">
        <v>915</v>
      </c>
      <c r="D258" s="180" t="s">
        <v>404</v>
      </c>
      <c r="E258" s="180">
        <v>30</v>
      </c>
      <c r="F258" s="180">
        <f>AVERAGE(E249:E250,E252)</f>
        <v>30</v>
      </c>
      <c r="G258" s="180" t="s">
        <v>916</v>
      </c>
      <c r="H258" s="180" t="s">
        <v>376</v>
      </c>
      <c r="I258" s="180"/>
      <c r="J258" s="180"/>
      <c r="K258" s="180"/>
      <c r="L258" s="180"/>
      <c r="M258" s="180"/>
      <c r="N258" s="180"/>
      <c r="O258" s="180"/>
    </row>
    <row r="259" spans="1:15" ht="16" x14ac:dyDescent="0.2">
      <c r="A259" s="180" t="s">
        <v>333</v>
      </c>
      <c r="B259" s="180">
        <v>308</v>
      </c>
      <c r="C259" s="180" t="s">
        <v>917</v>
      </c>
      <c r="D259" s="180" t="s">
        <v>910</v>
      </c>
      <c r="E259" s="180">
        <v>21</v>
      </c>
      <c r="F259" s="180">
        <f>AVERAGE(E249,E255,E257)</f>
        <v>21</v>
      </c>
      <c r="G259" s="180" t="s">
        <v>339</v>
      </c>
      <c r="H259" s="180" t="s">
        <v>376</v>
      </c>
      <c r="I259" s="180"/>
      <c r="J259" s="180"/>
      <c r="K259" s="180"/>
      <c r="L259" s="180"/>
      <c r="M259" s="180"/>
      <c r="N259" s="180"/>
      <c r="O259" s="180"/>
    </row>
    <row r="260" spans="1:15" ht="16" x14ac:dyDescent="0.2">
      <c r="A260" s="180" t="s">
        <v>333</v>
      </c>
      <c r="B260" s="180">
        <v>309</v>
      </c>
      <c r="C260" s="180" t="s">
        <v>918</v>
      </c>
      <c r="D260" s="180" t="s">
        <v>404</v>
      </c>
      <c r="E260" s="180">
        <v>30</v>
      </c>
      <c r="F260" s="180"/>
      <c r="G260" s="180" t="s">
        <v>919</v>
      </c>
      <c r="H260" s="180" t="s">
        <v>376</v>
      </c>
      <c r="I260" s="180"/>
      <c r="J260" s="180"/>
      <c r="K260" s="180"/>
      <c r="L260" s="180"/>
      <c r="M260" s="180"/>
      <c r="N260" s="180"/>
      <c r="O260" s="180"/>
    </row>
    <row r="261" spans="1:15" ht="16" x14ac:dyDescent="0.2">
      <c r="A261" s="180" t="s">
        <v>333</v>
      </c>
      <c r="B261" s="180">
        <v>310</v>
      </c>
      <c r="C261" s="180" t="s">
        <v>920</v>
      </c>
      <c r="D261" s="180" t="s">
        <v>910</v>
      </c>
      <c r="E261" s="180">
        <v>21</v>
      </c>
      <c r="F261" s="183">
        <f>Tables12!$F$10</f>
        <v>0.21</v>
      </c>
      <c r="G261" s="180" t="s">
        <v>921</v>
      </c>
      <c r="H261" s="180" t="s">
        <v>376</v>
      </c>
      <c r="I261" s="180"/>
      <c r="J261" s="180"/>
      <c r="K261" s="180"/>
      <c r="L261" s="180"/>
      <c r="M261" s="180"/>
      <c r="N261" s="180"/>
      <c r="O261" s="180"/>
    </row>
    <row r="262" spans="1:15" ht="16" x14ac:dyDescent="0.2">
      <c r="A262" s="180" t="s">
        <v>451</v>
      </c>
      <c r="B262" s="180">
        <v>311</v>
      </c>
      <c r="C262" s="180" t="s">
        <v>922</v>
      </c>
      <c r="D262" s="180" t="s">
        <v>378</v>
      </c>
      <c r="E262" s="180">
        <v>1</v>
      </c>
      <c r="F262" s="180"/>
      <c r="G262" s="180" t="s">
        <v>923</v>
      </c>
      <c r="H262" s="180" t="s">
        <v>376</v>
      </c>
      <c r="I262" s="180"/>
      <c r="J262" s="180"/>
      <c r="K262" s="180"/>
      <c r="L262" s="180"/>
      <c r="M262" s="180"/>
      <c r="N262" s="180"/>
      <c r="O262" s="180"/>
    </row>
    <row r="263" spans="1:15" ht="16" x14ac:dyDescent="0.2">
      <c r="A263" s="180" t="s">
        <v>333</v>
      </c>
      <c r="B263" s="180">
        <v>312</v>
      </c>
      <c r="C263" s="180" t="s">
        <v>924</v>
      </c>
      <c r="D263" s="180" t="s">
        <v>378</v>
      </c>
      <c r="E263" s="180">
        <v>1</v>
      </c>
      <c r="F263" s="180"/>
      <c r="G263" s="180" t="s">
        <v>925</v>
      </c>
      <c r="H263" s="180" t="s">
        <v>376</v>
      </c>
      <c r="I263" s="180"/>
      <c r="J263" s="180"/>
      <c r="K263" s="180"/>
      <c r="L263" s="180"/>
      <c r="M263" s="180"/>
      <c r="N263" s="180"/>
      <c r="O263" s="180"/>
    </row>
    <row r="264" spans="1:15" ht="16" x14ac:dyDescent="0.2">
      <c r="A264" s="180" t="s">
        <v>333</v>
      </c>
      <c r="B264" s="180">
        <v>313</v>
      </c>
      <c r="C264" s="180" t="s">
        <v>926</v>
      </c>
      <c r="D264" s="180" t="s">
        <v>342</v>
      </c>
      <c r="E264" s="180">
        <v>2</v>
      </c>
      <c r="F264" s="180"/>
      <c r="G264" s="180" t="s">
        <v>927</v>
      </c>
      <c r="H264" s="180" t="s">
        <v>376</v>
      </c>
      <c r="I264" s="180"/>
      <c r="J264" s="180"/>
      <c r="K264" s="180"/>
      <c r="L264" s="180"/>
      <c r="M264" s="180"/>
      <c r="N264" s="180"/>
      <c r="O264" s="180"/>
    </row>
    <row r="265" spans="1:15" ht="16" x14ac:dyDescent="0.2">
      <c r="A265" s="180" t="s">
        <v>329</v>
      </c>
      <c r="B265" s="180">
        <v>314</v>
      </c>
      <c r="C265" s="180" t="s">
        <v>983</v>
      </c>
      <c r="D265" s="180" t="s">
        <v>342</v>
      </c>
      <c r="E265" s="180">
        <v>2</v>
      </c>
      <c r="F265" s="180"/>
      <c r="G265" s="180" t="s">
        <v>984</v>
      </c>
      <c r="H265" s="180" t="s">
        <v>376</v>
      </c>
      <c r="I265" s="183" t="str">
        <f>Tables12!$F$2</f>
        <v>OACTX2 Scenario</v>
      </c>
      <c r="J265" s="180"/>
      <c r="K265" s="180"/>
      <c r="L265" s="180"/>
      <c r="M265" s="180"/>
      <c r="N265" s="180"/>
      <c r="O265" s="180"/>
    </row>
    <row r="266" spans="1:15" ht="16" x14ac:dyDescent="0.2">
      <c r="A266" s="180" t="s">
        <v>451</v>
      </c>
      <c r="B266" s="180">
        <v>315</v>
      </c>
      <c r="C266" s="180" t="s">
        <v>467</v>
      </c>
      <c r="D266" s="180" t="s">
        <v>470</v>
      </c>
      <c r="E266" s="180">
        <v>5</v>
      </c>
      <c r="F266" s="180"/>
      <c r="G266" s="180" t="s">
        <v>930</v>
      </c>
      <c r="H266" s="180" t="s">
        <v>376</v>
      </c>
      <c r="I266" s="180"/>
      <c r="J266" s="180"/>
      <c r="K266" s="180"/>
      <c r="L266" s="180"/>
      <c r="M266" s="180"/>
      <c r="N266" s="180"/>
      <c r="O266" s="180"/>
    </row>
    <row r="267" spans="1:15" ht="16" x14ac:dyDescent="0.2">
      <c r="A267" s="180" t="s">
        <v>333</v>
      </c>
      <c r="B267" s="180">
        <v>316</v>
      </c>
      <c r="C267" s="180" t="s">
        <v>931</v>
      </c>
      <c r="D267" s="180" t="s">
        <v>932</v>
      </c>
      <c r="E267" s="180">
        <v>12.3</v>
      </c>
      <c r="F267" s="184">
        <f>Table5!$B$8</f>
        <v>12.29844352661538</v>
      </c>
      <c r="G267" s="180" t="s">
        <v>933</v>
      </c>
      <c r="H267" s="180" t="s">
        <v>376</v>
      </c>
      <c r="I267" s="180"/>
      <c r="J267" s="180"/>
      <c r="K267" s="180"/>
      <c r="L267" s="180"/>
      <c r="M267" s="180"/>
      <c r="N267" s="180"/>
      <c r="O267" s="180"/>
    </row>
    <row r="268" spans="1:15" ht="16" x14ac:dyDescent="0.2">
      <c r="A268" s="180" t="s">
        <v>451</v>
      </c>
      <c r="B268" s="180">
        <v>317</v>
      </c>
      <c r="C268" s="180" t="s">
        <v>934</v>
      </c>
      <c r="D268" s="180" t="s">
        <v>935</v>
      </c>
      <c r="E268" s="180">
        <v>5</v>
      </c>
      <c r="F268" s="180"/>
      <c r="G268" s="180"/>
      <c r="H268" s="180" t="s">
        <v>376</v>
      </c>
      <c r="I268" s="180"/>
      <c r="J268" s="180"/>
      <c r="K268" s="180"/>
      <c r="L268" s="180"/>
      <c r="M268" s="180"/>
      <c r="N268" s="180"/>
      <c r="O268" s="180"/>
    </row>
    <row r="269" spans="1:15" ht="16" x14ac:dyDescent="0.2">
      <c r="A269" s="180" t="s">
        <v>333</v>
      </c>
      <c r="B269" s="180">
        <v>318</v>
      </c>
      <c r="C269" s="180" t="s">
        <v>936</v>
      </c>
      <c r="D269" s="180" t="s">
        <v>937</v>
      </c>
      <c r="E269" s="180">
        <v>14.6</v>
      </c>
      <c r="F269" s="184">
        <f>Table5!$B$9</f>
        <v>14.611287381812717</v>
      </c>
      <c r="G269" s="180" t="s">
        <v>693</v>
      </c>
      <c r="H269" s="180" t="s">
        <v>376</v>
      </c>
      <c r="I269" s="180"/>
      <c r="J269" s="180"/>
      <c r="K269" s="180"/>
      <c r="L269" s="180"/>
      <c r="M269" s="180"/>
      <c r="N269" s="180"/>
      <c r="O269" s="180"/>
    </row>
    <row r="270" spans="1:15" ht="16" x14ac:dyDescent="0.2">
      <c r="A270" s="180" t="s">
        <v>333</v>
      </c>
      <c r="B270" s="180">
        <v>319</v>
      </c>
      <c r="C270" s="180" t="s">
        <v>938</v>
      </c>
      <c r="D270" s="180" t="s">
        <v>393</v>
      </c>
      <c r="E270" s="180">
        <v>3</v>
      </c>
      <c r="F270" s="180"/>
      <c r="G270" s="180" t="s">
        <v>939</v>
      </c>
      <c r="H270" s="180" t="s">
        <v>376</v>
      </c>
      <c r="I270" s="180" t="s">
        <v>1864</v>
      </c>
      <c r="J270" s="180"/>
      <c r="K270" s="180"/>
      <c r="L270" s="180"/>
      <c r="M270" s="180"/>
      <c r="N270" s="180"/>
      <c r="O270" s="180"/>
    </row>
    <row r="271" spans="1:15" ht="16" x14ac:dyDescent="0.2">
      <c r="A271" s="180" t="s">
        <v>451</v>
      </c>
      <c r="B271" s="180">
        <v>320</v>
      </c>
      <c r="C271" s="180" t="s">
        <v>940</v>
      </c>
      <c r="D271" s="180" t="s">
        <v>378</v>
      </c>
      <c r="E271" s="180">
        <v>1</v>
      </c>
      <c r="F271" s="180"/>
      <c r="G271" s="180" t="s">
        <v>941</v>
      </c>
      <c r="H271" s="180" t="s">
        <v>376</v>
      </c>
      <c r="I271" s="180"/>
      <c r="J271" s="180"/>
      <c r="K271" s="180"/>
      <c r="L271" s="180"/>
      <c r="M271" s="180"/>
      <c r="N271" s="180"/>
      <c r="O271" s="180"/>
    </row>
    <row r="272" spans="1:15" ht="16" x14ac:dyDescent="0.2">
      <c r="A272" s="180" t="s">
        <v>451</v>
      </c>
      <c r="B272" s="180">
        <v>321</v>
      </c>
      <c r="C272" s="180" t="s">
        <v>942</v>
      </c>
      <c r="D272" s="180" t="s">
        <v>697</v>
      </c>
      <c r="E272" s="180">
        <v>4</v>
      </c>
      <c r="F272" s="180"/>
      <c r="G272" s="180" t="s">
        <v>943</v>
      </c>
      <c r="H272" s="180" t="s">
        <v>376</v>
      </c>
      <c r="I272" s="180"/>
      <c r="J272" s="180"/>
      <c r="K272" s="180"/>
      <c r="L272" s="180"/>
      <c r="M272" s="180"/>
      <c r="N272" s="180"/>
      <c r="O272" s="180"/>
    </row>
    <row r="273" spans="1:15" ht="16" x14ac:dyDescent="0.2">
      <c r="A273" s="180" t="s">
        <v>451</v>
      </c>
      <c r="B273" s="180">
        <v>322</v>
      </c>
      <c r="C273" s="180" t="s">
        <v>944</v>
      </c>
      <c r="D273" s="180" t="s">
        <v>945</v>
      </c>
      <c r="E273" s="180">
        <v>4</v>
      </c>
      <c r="F273" s="180"/>
      <c r="G273" s="180"/>
      <c r="H273" s="180" t="s">
        <v>376</v>
      </c>
      <c r="I273" s="180"/>
      <c r="J273" s="180"/>
      <c r="K273" s="180"/>
      <c r="L273" s="180"/>
      <c r="M273" s="180"/>
      <c r="N273" s="180"/>
      <c r="O273" s="180"/>
    </row>
    <row r="274" spans="1:15" ht="16" x14ac:dyDescent="0.2">
      <c r="A274" s="180" t="s">
        <v>333</v>
      </c>
      <c r="B274" s="180">
        <v>324</v>
      </c>
      <c r="C274" s="180" t="s">
        <v>948</v>
      </c>
      <c r="D274" s="180" t="s">
        <v>404</v>
      </c>
      <c r="E274" s="180">
        <v>30</v>
      </c>
      <c r="F274" s="180">
        <f>AVERAGE(E249:E250,E252)</f>
        <v>30</v>
      </c>
      <c r="G274" s="180" t="s">
        <v>949</v>
      </c>
      <c r="H274" s="180" t="s">
        <v>376</v>
      </c>
      <c r="I274" s="180"/>
      <c r="J274" s="180"/>
      <c r="K274" s="180"/>
      <c r="L274" s="180"/>
      <c r="M274" s="180"/>
      <c r="N274" s="180"/>
      <c r="O274" s="180"/>
    </row>
    <row r="275" spans="1:15" ht="16" x14ac:dyDescent="0.2">
      <c r="A275" s="180" t="s">
        <v>333</v>
      </c>
      <c r="B275" s="180">
        <v>325</v>
      </c>
      <c r="C275" s="180" t="s">
        <v>950</v>
      </c>
      <c r="D275" s="180" t="s">
        <v>910</v>
      </c>
      <c r="E275" s="180">
        <v>21</v>
      </c>
      <c r="F275" s="180">
        <f>AVERAGE(E249,E255,E257)</f>
        <v>21</v>
      </c>
      <c r="G275" s="180" t="s">
        <v>951</v>
      </c>
      <c r="H275" s="180" t="s">
        <v>376</v>
      </c>
      <c r="J275" s="180"/>
      <c r="K275" s="180"/>
      <c r="L275" s="180"/>
      <c r="M275" s="180"/>
      <c r="N275" s="180"/>
      <c r="O275" s="180"/>
    </row>
    <row r="276" spans="1:15" ht="16" x14ac:dyDescent="0.2">
      <c r="A276" s="180" t="s">
        <v>451</v>
      </c>
      <c r="B276" s="180">
        <v>326</v>
      </c>
      <c r="C276" s="180" t="s">
        <v>952</v>
      </c>
      <c r="D276" s="180" t="s">
        <v>497</v>
      </c>
      <c r="E276" s="180">
        <v>3</v>
      </c>
      <c r="F276" s="180"/>
      <c r="G276" s="180" t="s">
        <v>953</v>
      </c>
      <c r="H276" s="180" t="s">
        <v>376</v>
      </c>
      <c r="I276" s="180"/>
      <c r="J276" s="180"/>
      <c r="K276" s="180"/>
      <c r="L276" s="180"/>
      <c r="M276" s="180"/>
      <c r="N276" s="180"/>
      <c r="O276" s="180"/>
    </row>
    <row r="277" spans="1:15" ht="16" x14ac:dyDescent="0.2">
      <c r="A277" s="180" t="s">
        <v>329</v>
      </c>
      <c r="B277" s="180">
        <v>327</v>
      </c>
      <c r="C277" s="180" t="s">
        <v>990</v>
      </c>
      <c r="D277" s="180" t="s">
        <v>342</v>
      </c>
      <c r="E277" s="180">
        <v>2</v>
      </c>
      <c r="F277" s="180"/>
      <c r="G277" s="180" t="s">
        <v>514</v>
      </c>
      <c r="H277" s="180" t="s">
        <v>376</v>
      </c>
      <c r="I277" s="183" t="str">
        <f>I265</f>
        <v>OACTX2 Scenario</v>
      </c>
      <c r="J277" s="180"/>
      <c r="K277" s="180"/>
      <c r="L277" s="180"/>
      <c r="M277" s="180"/>
      <c r="N277" s="180"/>
      <c r="O277" s="180"/>
    </row>
    <row r="278" spans="1:15" ht="16" x14ac:dyDescent="0.2">
      <c r="A278" s="180" t="s">
        <v>333</v>
      </c>
      <c r="B278" s="180">
        <v>328</v>
      </c>
      <c r="C278" s="180" t="s">
        <v>956</v>
      </c>
      <c r="D278" s="180" t="s">
        <v>957</v>
      </c>
      <c r="E278" s="180">
        <v>3.4</v>
      </c>
      <c r="F278" s="184">
        <f>Table5!$C$8</f>
        <v>3.4465589528619587</v>
      </c>
      <c r="G278" s="180" t="s">
        <v>958</v>
      </c>
      <c r="H278" s="180" t="s">
        <v>376</v>
      </c>
      <c r="I278" s="180"/>
      <c r="J278" s="180"/>
      <c r="K278" s="180"/>
      <c r="L278" s="180"/>
      <c r="M278" s="180"/>
      <c r="N278" s="180"/>
      <c r="O278" s="180"/>
    </row>
    <row r="279" spans="1:15" ht="16" x14ac:dyDescent="0.2">
      <c r="A279" s="180" t="s">
        <v>451</v>
      </c>
      <c r="B279" s="180">
        <v>329</v>
      </c>
      <c r="C279" s="180" t="s">
        <v>959</v>
      </c>
      <c r="D279" s="180" t="s">
        <v>935</v>
      </c>
      <c r="E279" s="180">
        <v>5</v>
      </c>
      <c r="F279" s="180"/>
      <c r="G279" s="180"/>
      <c r="H279" s="180" t="s">
        <v>376</v>
      </c>
      <c r="I279" s="180"/>
      <c r="J279" s="180"/>
      <c r="K279" s="180"/>
      <c r="L279" s="180"/>
      <c r="M279" s="180"/>
      <c r="N279" s="180"/>
      <c r="O279" s="180"/>
    </row>
    <row r="280" spans="1:15" ht="16" x14ac:dyDescent="0.2">
      <c r="A280" s="180" t="s">
        <v>333</v>
      </c>
      <c r="B280" s="180">
        <v>330</v>
      </c>
      <c r="C280" s="180" t="s">
        <v>936</v>
      </c>
      <c r="D280" s="180" t="s">
        <v>960</v>
      </c>
      <c r="E280" s="180">
        <v>4.5999999999999996</v>
      </c>
      <c r="F280" s="184">
        <f>Table5!$C$9</f>
        <v>4.5760796854831254</v>
      </c>
      <c r="G280" s="180" t="s">
        <v>693</v>
      </c>
      <c r="H280" s="180" t="s">
        <v>376</v>
      </c>
      <c r="I280" s="180"/>
      <c r="J280" s="180"/>
      <c r="K280" s="180"/>
      <c r="L280" s="180"/>
      <c r="M280" s="180"/>
      <c r="N280" s="180"/>
      <c r="O280" s="180"/>
    </row>
    <row r="281" spans="1:15" ht="16" x14ac:dyDescent="0.2">
      <c r="A281" s="180" t="s">
        <v>333</v>
      </c>
      <c r="B281" s="180">
        <v>331</v>
      </c>
      <c r="C281" s="180" t="s">
        <v>961</v>
      </c>
      <c r="D281" s="180" t="s">
        <v>393</v>
      </c>
      <c r="E281" s="180">
        <v>3</v>
      </c>
      <c r="F281" s="180"/>
      <c r="G281" s="180" t="s">
        <v>962</v>
      </c>
      <c r="H281" s="180" t="s">
        <v>376</v>
      </c>
      <c r="I281" s="180"/>
      <c r="J281" s="180"/>
      <c r="K281" s="180"/>
      <c r="L281" s="180"/>
      <c r="M281" s="180"/>
      <c r="N281" s="180"/>
      <c r="O281" s="180"/>
    </row>
    <row r="282" spans="1:15" ht="16" x14ac:dyDescent="0.2">
      <c r="A282" s="180" t="s">
        <v>365</v>
      </c>
      <c r="B282" s="180">
        <v>332</v>
      </c>
      <c r="C282" s="180"/>
      <c r="D282" s="180" t="s">
        <v>364</v>
      </c>
      <c r="E282" s="180">
        <v>1</v>
      </c>
      <c r="F282" s="180"/>
      <c r="G282" s="180" t="s">
        <v>963</v>
      </c>
      <c r="H282" s="180" t="s">
        <v>376</v>
      </c>
      <c r="I282" s="180"/>
      <c r="J282" s="180"/>
      <c r="K282" s="180"/>
      <c r="L282" s="180"/>
      <c r="M282" s="180"/>
      <c r="N282" s="180"/>
      <c r="O282" s="180"/>
    </row>
    <row r="283" spans="1:15" ht="16" x14ac:dyDescent="0.2">
      <c r="A283" s="180" t="s">
        <v>333</v>
      </c>
      <c r="B283" s="180">
        <v>333</v>
      </c>
      <c r="C283" s="180" t="s">
        <v>415</v>
      </c>
      <c r="D283" s="180" t="s">
        <v>344</v>
      </c>
      <c r="E283" s="180"/>
      <c r="F283" s="180"/>
      <c r="G283" s="180" t="s">
        <v>964</v>
      </c>
      <c r="H283" s="180" t="s">
        <v>376</v>
      </c>
      <c r="I283" s="180"/>
      <c r="J283" s="180"/>
      <c r="K283" s="180"/>
      <c r="L283" s="180"/>
      <c r="M283" s="180"/>
      <c r="N283" s="180"/>
      <c r="O283" s="180"/>
    </row>
    <row r="284" spans="1:15" ht="16" x14ac:dyDescent="0.2">
      <c r="A284" s="180" t="s">
        <v>365</v>
      </c>
      <c r="B284" s="180">
        <v>334</v>
      </c>
      <c r="C284" s="180"/>
      <c r="D284" s="180" t="s">
        <v>364</v>
      </c>
      <c r="E284" s="180">
        <v>1</v>
      </c>
      <c r="F284" s="180"/>
      <c r="G284" s="180" t="s">
        <v>965</v>
      </c>
      <c r="H284" s="180" t="s">
        <v>376</v>
      </c>
      <c r="I284" s="180"/>
      <c r="J284" s="180"/>
      <c r="K284" s="180"/>
      <c r="L284" s="180"/>
      <c r="M284" s="180"/>
      <c r="N284" s="180"/>
      <c r="O284" s="180"/>
    </row>
    <row r="285" spans="1:15" ht="16" x14ac:dyDescent="0.2">
      <c r="A285" s="180" t="s">
        <v>333</v>
      </c>
      <c r="B285" s="180">
        <v>337</v>
      </c>
      <c r="C285" s="180" t="s">
        <v>694</v>
      </c>
      <c r="D285" s="180" t="s">
        <v>378</v>
      </c>
      <c r="E285" s="180">
        <v>1</v>
      </c>
      <c r="F285" s="180">
        <f t="shared" ref="F285:F290" si="0">E158</f>
        <v>1</v>
      </c>
      <c r="G285" s="180" t="s">
        <v>695</v>
      </c>
      <c r="H285" s="180" t="s">
        <v>376</v>
      </c>
      <c r="I285" s="180"/>
      <c r="J285" s="180"/>
      <c r="K285" s="180"/>
      <c r="L285" s="180"/>
      <c r="M285" s="180"/>
      <c r="N285" s="180"/>
      <c r="O285" s="180"/>
    </row>
    <row r="286" spans="1:15" ht="16" x14ac:dyDescent="0.2">
      <c r="A286" s="180" t="s">
        <v>333</v>
      </c>
      <c r="B286" s="180">
        <v>338</v>
      </c>
      <c r="C286" s="180" t="s">
        <v>696</v>
      </c>
      <c r="D286" s="180" t="s">
        <v>697</v>
      </c>
      <c r="E286" s="180">
        <v>4</v>
      </c>
      <c r="F286" s="180">
        <f t="shared" si="0"/>
        <v>4</v>
      </c>
      <c r="G286" s="180" t="s">
        <v>698</v>
      </c>
      <c r="H286" s="180" t="s">
        <v>376</v>
      </c>
      <c r="I286" s="180"/>
      <c r="J286" s="180"/>
      <c r="K286" s="180"/>
      <c r="L286" s="180"/>
      <c r="M286" s="180"/>
      <c r="N286" s="180"/>
      <c r="O286" s="180"/>
    </row>
    <row r="287" spans="1:15" ht="16" x14ac:dyDescent="0.2">
      <c r="A287" s="180" t="s">
        <v>333</v>
      </c>
      <c r="B287" s="180">
        <v>339</v>
      </c>
      <c r="C287" s="180" t="s">
        <v>699</v>
      </c>
      <c r="D287" s="180" t="s">
        <v>470</v>
      </c>
      <c r="E287" s="180">
        <v>5</v>
      </c>
      <c r="F287" s="180">
        <f t="shared" si="0"/>
        <v>5</v>
      </c>
      <c r="G287" s="180" t="s">
        <v>700</v>
      </c>
      <c r="H287" s="180" t="s">
        <v>376</v>
      </c>
      <c r="I287" s="180"/>
      <c r="J287" s="180"/>
      <c r="K287" s="180"/>
      <c r="L287" s="180"/>
      <c r="M287" s="180"/>
      <c r="N287" s="180"/>
      <c r="O287" s="180"/>
    </row>
    <row r="288" spans="1:15" ht="16" x14ac:dyDescent="0.2">
      <c r="A288" s="180" t="s">
        <v>333</v>
      </c>
      <c r="B288" s="180">
        <v>340</v>
      </c>
      <c r="C288" s="180" t="s">
        <v>701</v>
      </c>
      <c r="D288" s="180" t="s">
        <v>702</v>
      </c>
      <c r="E288" s="180">
        <v>12</v>
      </c>
      <c r="F288" s="180">
        <f t="shared" si="0"/>
        <v>12</v>
      </c>
      <c r="G288" s="180"/>
      <c r="H288" s="180" t="s">
        <v>376</v>
      </c>
      <c r="I288" s="180"/>
      <c r="J288" s="180"/>
      <c r="K288" s="180"/>
      <c r="L288" s="180"/>
      <c r="M288" s="180"/>
      <c r="N288" s="180"/>
      <c r="O288" s="180"/>
    </row>
    <row r="289" spans="1:15" ht="16" x14ac:dyDescent="0.2">
      <c r="A289" s="180" t="s">
        <v>333</v>
      </c>
      <c r="B289" s="180">
        <v>341</v>
      </c>
      <c r="C289" s="180" t="s">
        <v>703</v>
      </c>
      <c r="D289" s="180" t="s">
        <v>704</v>
      </c>
      <c r="E289" s="180">
        <v>92</v>
      </c>
      <c r="F289" s="180">
        <f t="shared" si="0"/>
        <v>92</v>
      </c>
      <c r="G289" s="180" t="s">
        <v>970</v>
      </c>
      <c r="H289" s="180" t="s">
        <v>376</v>
      </c>
      <c r="I289" s="180"/>
      <c r="J289" s="180"/>
      <c r="K289" s="180"/>
      <c r="L289" s="180"/>
      <c r="M289" s="180"/>
      <c r="N289" s="180"/>
      <c r="O289" s="180"/>
    </row>
    <row r="290" spans="1:15" ht="16" x14ac:dyDescent="0.2">
      <c r="A290" s="180" t="s">
        <v>333</v>
      </c>
      <c r="B290" s="180">
        <v>342</v>
      </c>
      <c r="C290" s="180" t="s">
        <v>706</v>
      </c>
      <c r="D290" s="180" t="s">
        <v>707</v>
      </c>
      <c r="E290" s="180">
        <v>53</v>
      </c>
      <c r="F290" s="180">
        <f t="shared" si="0"/>
        <v>53</v>
      </c>
      <c r="G290" s="180" t="s">
        <v>971</v>
      </c>
      <c r="H290" s="180" t="s">
        <v>376</v>
      </c>
      <c r="I290" s="180"/>
      <c r="J290" s="180"/>
      <c r="K290" s="180"/>
      <c r="L290" s="180"/>
      <c r="M290" s="180"/>
      <c r="N290" s="180"/>
      <c r="O290" s="180"/>
    </row>
    <row r="291" spans="1:15" ht="16" x14ac:dyDescent="0.2">
      <c r="A291" s="180" t="s">
        <v>333</v>
      </c>
      <c r="B291" s="180">
        <v>343</v>
      </c>
      <c r="C291" s="180" t="s">
        <v>709</v>
      </c>
      <c r="D291" s="180" t="s">
        <v>352</v>
      </c>
      <c r="E291" s="180">
        <v>2022</v>
      </c>
      <c r="F291" s="180"/>
      <c r="G291" s="180" t="s">
        <v>972</v>
      </c>
      <c r="H291" s="180" t="s">
        <v>376</v>
      </c>
      <c r="I291" s="180"/>
      <c r="J291" s="180"/>
      <c r="K291" s="180"/>
      <c r="L291" s="180"/>
      <c r="M291" s="180"/>
      <c r="N291" s="180"/>
      <c r="O291" s="180"/>
    </row>
    <row r="292" spans="1:15" ht="16" x14ac:dyDescent="0.2">
      <c r="A292" s="180" t="s">
        <v>333</v>
      </c>
      <c r="B292" s="180">
        <v>344</v>
      </c>
      <c r="C292" s="180" t="s">
        <v>711</v>
      </c>
      <c r="D292" s="180" t="s">
        <v>712</v>
      </c>
      <c r="E292" s="180">
        <v>36</v>
      </c>
      <c r="F292" s="185">
        <f>SUM($E$289:$E$290)*E285/E286</f>
        <v>36.25</v>
      </c>
      <c r="G292" s="180" t="s">
        <v>973</v>
      </c>
      <c r="H292" s="180" t="s">
        <v>376</v>
      </c>
      <c r="I292" s="180"/>
      <c r="J292" s="180"/>
      <c r="K292" s="180"/>
      <c r="L292" s="180"/>
      <c r="M292" s="180"/>
      <c r="N292" s="180"/>
      <c r="O292" s="180"/>
    </row>
    <row r="293" spans="1:15" ht="16" x14ac:dyDescent="0.2">
      <c r="A293" s="180" t="s">
        <v>333</v>
      </c>
      <c r="B293" s="180">
        <v>345</v>
      </c>
      <c r="C293" s="180" t="s">
        <v>714</v>
      </c>
      <c r="D293" s="180" t="s">
        <v>715</v>
      </c>
      <c r="E293" s="180">
        <v>-60</v>
      </c>
      <c r="F293" s="185">
        <f>SUM($E$289:$E$290)*E287/E288</f>
        <v>60.416666666666664</v>
      </c>
      <c r="G293" s="180" t="s">
        <v>974</v>
      </c>
      <c r="H293" s="180" t="s">
        <v>376</v>
      </c>
      <c r="I293" s="180"/>
      <c r="J293" s="180"/>
      <c r="K293" s="180"/>
      <c r="L293" s="180"/>
      <c r="M293" s="180"/>
      <c r="N293" s="180"/>
      <c r="O293" s="180"/>
    </row>
    <row r="294" spans="1:15" ht="16" x14ac:dyDescent="0.2">
      <c r="A294" s="180" t="s">
        <v>451</v>
      </c>
      <c r="B294" s="180">
        <v>346</v>
      </c>
      <c r="C294" s="180" t="s">
        <v>975</v>
      </c>
      <c r="D294" s="180" t="s">
        <v>935</v>
      </c>
      <c r="E294" s="180">
        <v>5</v>
      </c>
      <c r="G294" s="180"/>
      <c r="H294" s="180" t="s">
        <v>376</v>
      </c>
      <c r="I294" s="180"/>
      <c r="J294" s="180"/>
      <c r="K294" s="180"/>
      <c r="L294" s="180"/>
      <c r="M294" s="180"/>
      <c r="N294" s="180"/>
      <c r="O294" s="180"/>
    </row>
    <row r="295" spans="1:15" ht="16" x14ac:dyDescent="0.2">
      <c r="A295" s="180" t="s">
        <v>333</v>
      </c>
      <c r="B295" s="180">
        <v>347</v>
      </c>
      <c r="C295" s="180" t="s">
        <v>976</v>
      </c>
      <c r="D295" s="180" t="s">
        <v>352</v>
      </c>
      <c r="E295" s="180">
        <v>2022</v>
      </c>
      <c r="F295" s="180"/>
      <c r="G295" s="180" t="s">
        <v>389</v>
      </c>
      <c r="H295" s="180" t="s">
        <v>376</v>
      </c>
      <c r="I295" s="180"/>
      <c r="J295" s="180"/>
      <c r="K295" s="180"/>
      <c r="L295" s="180"/>
      <c r="M295" s="180"/>
      <c r="N295" s="180"/>
      <c r="O295" s="180"/>
    </row>
    <row r="296" spans="1:15" ht="16" x14ac:dyDescent="0.2">
      <c r="A296" s="180" t="s">
        <v>333</v>
      </c>
      <c r="B296" s="180">
        <v>349</v>
      </c>
      <c r="C296" s="180" t="s">
        <v>979</v>
      </c>
      <c r="D296" s="180" t="s">
        <v>393</v>
      </c>
      <c r="E296" s="180">
        <v>3</v>
      </c>
      <c r="F296" s="180"/>
      <c r="G296" s="180" t="s">
        <v>980</v>
      </c>
      <c r="H296" s="180" t="s">
        <v>376</v>
      </c>
      <c r="I296" s="180"/>
      <c r="K296" s="180"/>
      <c r="L296" s="180"/>
      <c r="M296" s="180"/>
      <c r="N296" s="180"/>
      <c r="O296" s="180"/>
    </row>
    <row r="297" spans="1:15" ht="16" x14ac:dyDescent="0.2">
      <c r="A297" s="180" t="s">
        <v>333</v>
      </c>
      <c r="B297" s="180">
        <v>350</v>
      </c>
      <c r="C297" s="180" t="s">
        <v>981</v>
      </c>
      <c r="D297" s="180" t="s">
        <v>644</v>
      </c>
      <c r="E297" s="180">
        <v>60</v>
      </c>
      <c r="F297" s="183">
        <f>(73.9+90.3+22.7)/(500.9*(1-(48.7+54.4+34.2+9)/385.2))</f>
        <v>0.60162849608252245</v>
      </c>
      <c r="G297" s="180" t="s">
        <v>982</v>
      </c>
      <c r="H297" s="180" t="s">
        <v>376</v>
      </c>
      <c r="I297" s="180" t="s">
        <v>1866</v>
      </c>
      <c r="J297" t="s">
        <v>1865</v>
      </c>
      <c r="K297" s="180"/>
      <c r="L297" s="180"/>
      <c r="M297" s="180"/>
      <c r="N297" s="180"/>
      <c r="O297" s="180"/>
    </row>
    <row r="298" spans="1:15" ht="16" x14ac:dyDescent="0.2">
      <c r="A298" s="180" t="s">
        <v>333</v>
      </c>
      <c r="B298" s="180">
        <v>353</v>
      </c>
      <c r="C298" s="180" t="s">
        <v>985</v>
      </c>
      <c r="D298" s="180" t="s">
        <v>986</v>
      </c>
      <c r="E298" s="180">
        <v>2018</v>
      </c>
      <c r="F298" s="180"/>
      <c r="G298" s="180" t="s">
        <v>389</v>
      </c>
      <c r="H298" s="180" t="s">
        <v>376</v>
      </c>
      <c r="I298" s="180"/>
      <c r="J298" s="180"/>
      <c r="K298" s="180"/>
      <c r="L298" s="180"/>
      <c r="M298" s="180"/>
      <c r="N298" s="180"/>
      <c r="O298" s="180"/>
    </row>
    <row r="299" spans="1:15" ht="16" x14ac:dyDescent="0.2">
      <c r="A299" s="180" t="s">
        <v>333</v>
      </c>
      <c r="B299" s="180">
        <v>354</v>
      </c>
      <c r="C299" s="180" t="s">
        <v>987</v>
      </c>
      <c r="D299" s="180" t="s">
        <v>601</v>
      </c>
      <c r="E299" s="180">
        <v>2019</v>
      </c>
      <c r="F299" s="180"/>
      <c r="G299" s="180" t="s">
        <v>389</v>
      </c>
      <c r="H299" s="180" t="s">
        <v>376</v>
      </c>
      <c r="I299" s="180"/>
      <c r="J299" s="180"/>
      <c r="K299" s="180"/>
      <c r="L299" s="180"/>
      <c r="M299" s="180"/>
      <c r="N299" s="180"/>
      <c r="O299" s="180"/>
    </row>
    <row r="300" spans="1:15" ht="16" x14ac:dyDescent="0.2">
      <c r="A300" s="180" t="s">
        <v>333</v>
      </c>
      <c r="B300" s="180">
        <v>357</v>
      </c>
      <c r="C300" s="180" t="s">
        <v>988</v>
      </c>
      <c r="D300" s="180" t="s">
        <v>989</v>
      </c>
      <c r="E300" s="180">
        <v>2014</v>
      </c>
      <c r="F300" s="180"/>
      <c r="G300" s="180" t="s">
        <v>389</v>
      </c>
      <c r="H300" s="180" t="s">
        <v>376</v>
      </c>
      <c r="I300" s="180"/>
      <c r="J300" s="180"/>
      <c r="K300" s="180"/>
      <c r="L300" s="180"/>
      <c r="M300" s="180"/>
      <c r="N300" s="180"/>
      <c r="O300" s="180"/>
    </row>
    <row r="301" spans="1:15" ht="16" x14ac:dyDescent="0.2">
      <c r="A301" s="180" t="s">
        <v>365</v>
      </c>
      <c r="B301" s="180">
        <v>360</v>
      </c>
      <c r="C301" s="180"/>
      <c r="D301" s="180" t="s">
        <v>993</v>
      </c>
      <c r="E301" s="180">
        <v>4</v>
      </c>
      <c r="F301" s="180"/>
      <c r="G301" s="180" t="s">
        <v>994</v>
      </c>
      <c r="H301" s="180" t="s">
        <v>376</v>
      </c>
      <c r="I301" s="180"/>
      <c r="J301" s="180"/>
      <c r="K301" s="180"/>
      <c r="L301" s="180"/>
      <c r="M301" s="180"/>
      <c r="N301" s="180"/>
      <c r="O301" s="180"/>
    </row>
    <row r="302" spans="1:15" ht="16" x14ac:dyDescent="0.2">
      <c r="A302" s="180" t="s">
        <v>365</v>
      </c>
      <c r="B302" s="180">
        <v>361</v>
      </c>
      <c r="C302" s="180"/>
      <c r="D302" s="180" t="s">
        <v>364</v>
      </c>
      <c r="E302" s="180">
        <v>1</v>
      </c>
      <c r="F302" s="180"/>
      <c r="G302" s="180" t="s">
        <v>995</v>
      </c>
      <c r="H302" s="180" t="s">
        <v>376</v>
      </c>
      <c r="I302" s="180"/>
      <c r="J302" s="180"/>
      <c r="K302" s="180"/>
      <c r="L302" s="180"/>
      <c r="M302" s="180"/>
      <c r="N302" s="180"/>
      <c r="O302" s="180"/>
    </row>
    <row r="303" spans="1:15" ht="16" x14ac:dyDescent="0.2">
      <c r="A303" s="180" t="s">
        <v>333</v>
      </c>
      <c r="B303" s="180">
        <v>363</v>
      </c>
      <c r="C303" s="180" t="s">
        <v>998</v>
      </c>
      <c r="D303" s="180" t="s">
        <v>649</v>
      </c>
      <c r="E303" s="180">
        <v>2013</v>
      </c>
      <c r="F303" s="180"/>
      <c r="G303" s="180" t="s">
        <v>999</v>
      </c>
      <c r="H303" s="180" t="s">
        <v>376</v>
      </c>
      <c r="I303" s="180"/>
      <c r="J303" s="180"/>
      <c r="K303" s="180"/>
      <c r="L303" s="180"/>
      <c r="M303" s="180"/>
      <c r="N303" s="180"/>
      <c r="O303" s="180"/>
    </row>
    <row r="304" spans="1:15" ht="16" x14ac:dyDescent="0.2">
      <c r="A304" s="180" t="s">
        <v>333</v>
      </c>
      <c r="B304" s="180">
        <v>367</v>
      </c>
      <c r="C304" s="180" t="s">
        <v>1006</v>
      </c>
      <c r="D304" s="180" t="s">
        <v>653</v>
      </c>
      <c r="E304" s="180">
        <v>2012</v>
      </c>
      <c r="F304" s="180"/>
      <c r="G304" s="180" t="s">
        <v>1007</v>
      </c>
      <c r="H304" s="180" t="s">
        <v>376</v>
      </c>
      <c r="I304" s="180"/>
      <c r="J304" s="180"/>
      <c r="K304" s="180"/>
      <c r="L304" s="180"/>
      <c r="M304" s="180"/>
      <c r="N304" s="180"/>
      <c r="O304" s="180"/>
    </row>
    <row r="305" spans="1:15" ht="16" x14ac:dyDescent="0.2">
      <c r="A305" s="180" t="s">
        <v>373</v>
      </c>
      <c r="B305" s="180">
        <v>368</v>
      </c>
      <c r="C305" s="180" t="s">
        <v>1008</v>
      </c>
      <c r="D305" s="180" t="s">
        <v>378</v>
      </c>
      <c r="E305" s="180">
        <v>1</v>
      </c>
      <c r="F305" s="180"/>
      <c r="G305" s="180" t="s">
        <v>1009</v>
      </c>
      <c r="H305" s="180" t="s">
        <v>376</v>
      </c>
      <c r="I305" s="180"/>
      <c r="J305" s="180"/>
      <c r="K305" s="180"/>
      <c r="L305" s="180"/>
      <c r="M305" s="180"/>
      <c r="N305" s="180"/>
      <c r="O305" s="180"/>
    </row>
    <row r="306" spans="1:15" ht="16" x14ac:dyDescent="0.2">
      <c r="A306" s="180" t="s">
        <v>329</v>
      </c>
      <c r="B306" s="180">
        <v>369</v>
      </c>
      <c r="C306" s="180" t="s">
        <v>479</v>
      </c>
      <c r="D306" s="180" t="s">
        <v>378</v>
      </c>
      <c r="E306" s="180">
        <v>1</v>
      </c>
      <c r="F306" s="180"/>
      <c r="G306" s="180" t="s">
        <v>480</v>
      </c>
      <c r="H306" s="180" t="s">
        <v>376</v>
      </c>
      <c r="I306" s="180"/>
      <c r="J306" s="180"/>
      <c r="K306" s="180"/>
      <c r="L306" s="180"/>
      <c r="M306" s="180"/>
      <c r="N306" s="180"/>
      <c r="O306" s="180"/>
    </row>
    <row r="307" spans="1:15" ht="16" x14ac:dyDescent="0.2">
      <c r="A307" s="180" t="s">
        <v>329</v>
      </c>
      <c r="B307" s="180">
        <v>370</v>
      </c>
      <c r="C307" s="180" t="s">
        <v>369</v>
      </c>
      <c r="D307" s="180" t="s">
        <v>370</v>
      </c>
      <c r="E307" s="180">
        <v>0</v>
      </c>
      <c r="F307" s="180"/>
      <c r="G307" s="180" t="s">
        <v>371</v>
      </c>
      <c r="H307" s="180" t="s">
        <v>376</v>
      </c>
      <c r="I307" s="180"/>
      <c r="J307" s="180"/>
      <c r="K307" s="180"/>
      <c r="L307" s="180"/>
      <c r="M307" s="180"/>
      <c r="N307" s="180"/>
      <c r="O307" s="180"/>
    </row>
    <row r="308" spans="1:15" ht="16" x14ac:dyDescent="0.2">
      <c r="A308" s="180" t="s">
        <v>333</v>
      </c>
      <c r="B308" s="180">
        <v>372</v>
      </c>
      <c r="C308" s="180" t="s">
        <v>1016</v>
      </c>
      <c r="D308" s="180" t="s">
        <v>1017</v>
      </c>
      <c r="E308" s="180">
        <v>2007</v>
      </c>
      <c r="F308" s="180"/>
      <c r="G308" s="180" t="s">
        <v>1018</v>
      </c>
      <c r="H308" s="180" t="s">
        <v>376</v>
      </c>
      <c r="I308" s="180"/>
      <c r="J308" s="180"/>
      <c r="K308" s="180"/>
      <c r="L308" s="180"/>
      <c r="M308" s="180"/>
      <c r="N308" s="180"/>
      <c r="O308" s="180"/>
    </row>
    <row r="309" spans="1:15" ht="16" x14ac:dyDescent="0.2">
      <c r="A309" s="180" t="s">
        <v>333</v>
      </c>
      <c r="B309" s="180">
        <v>373</v>
      </c>
      <c r="C309" s="180" t="s">
        <v>1019</v>
      </c>
      <c r="D309" s="180" t="s">
        <v>601</v>
      </c>
      <c r="E309" s="180">
        <v>2019</v>
      </c>
      <c r="F309" s="180"/>
      <c r="G309" s="180" t="s">
        <v>1020</v>
      </c>
      <c r="H309" s="180" t="s">
        <v>376</v>
      </c>
      <c r="I309" s="180"/>
      <c r="J309" s="180"/>
      <c r="K309" s="180"/>
      <c r="L309" s="180"/>
      <c r="M309" s="180"/>
      <c r="N309" s="180"/>
      <c r="O309" s="180"/>
    </row>
    <row r="310" spans="1:15" ht="16" x14ac:dyDescent="0.2">
      <c r="A310" s="180" t="s">
        <v>373</v>
      </c>
      <c r="B310" s="180">
        <v>374</v>
      </c>
      <c r="C310" s="180" t="s">
        <v>1021</v>
      </c>
      <c r="D310" s="180" t="s">
        <v>378</v>
      </c>
      <c r="E310" s="180">
        <v>1</v>
      </c>
      <c r="F310" s="180"/>
      <c r="G310" s="180" t="s">
        <v>1022</v>
      </c>
      <c r="H310" s="180" t="s">
        <v>376</v>
      </c>
      <c r="I310" s="180"/>
      <c r="J310" s="180"/>
      <c r="K310" s="180"/>
      <c r="L310" s="180"/>
      <c r="M310" s="180"/>
      <c r="N310" s="180"/>
      <c r="O310" s="180"/>
    </row>
    <row r="311" spans="1:15" ht="16" x14ac:dyDescent="0.2">
      <c r="A311" s="180" t="s">
        <v>329</v>
      </c>
      <c r="B311" s="180">
        <v>375</v>
      </c>
      <c r="C311" s="180" t="s">
        <v>417</v>
      </c>
      <c r="D311" s="180" t="s">
        <v>370</v>
      </c>
      <c r="E311" s="180">
        <v>0</v>
      </c>
      <c r="F311" s="180"/>
      <c r="G311" s="180" t="s">
        <v>418</v>
      </c>
      <c r="H311" s="180" t="s">
        <v>376</v>
      </c>
      <c r="I311" s="180"/>
      <c r="J311" s="180"/>
      <c r="K311" s="180"/>
      <c r="L311" s="180"/>
      <c r="M311" s="180"/>
      <c r="N311" s="180"/>
      <c r="O311" s="180"/>
    </row>
    <row r="312" spans="1:15" ht="16" x14ac:dyDescent="0.2">
      <c r="A312" s="180" t="s">
        <v>329</v>
      </c>
      <c r="B312" s="180">
        <v>376</v>
      </c>
      <c r="C312" s="180" t="s">
        <v>820</v>
      </c>
      <c r="D312" s="180" t="s">
        <v>375</v>
      </c>
      <c r="E312" s="180">
        <v>1</v>
      </c>
      <c r="F312" s="180"/>
      <c r="G312" s="180"/>
      <c r="H312" s="180" t="s">
        <v>376</v>
      </c>
      <c r="I312" s="180"/>
      <c r="J312" s="180"/>
      <c r="K312" s="180"/>
      <c r="L312" s="180"/>
      <c r="M312" s="180"/>
      <c r="N312" s="180"/>
      <c r="O312" s="180"/>
    </row>
    <row r="313" spans="1:15" ht="16" x14ac:dyDescent="0.2">
      <c r="A313" s="180" t="s">
        <v>365</v>
      </c>
      <c r="B313" s="180">
        <v>377</v>
      </c>
      <c r="C313" s="180"/>
      <c r="D313" s="180" t="s">
        <v>344</v>
      </c>
      <c r="E313" s="180"/>
      <c r="F313" s="180"/>
      <c r="G313" s="180" t="s">
        <v>1027</v>
      </c>
      <c r="H313" s="180" t="s">
        <v>376</v>
      </c>
      <c r="I313" s="180"/>
      <c r="J313" s="180"/>
      <c r="K313" s="180"/>
      <c r="L313" s="180"/>
      <c r="M313" s="180"/>
      <c r="N313" s="180"/>
      <c r="O313" s="180"/>
    </row>
    <row r="314" spans="1:15" ht="16" x14ac:dyDescent="0.2">
      <c r="A314" s="180" t="s">
        <v>333</v>
      </c>
      <c r="B314" s="180">
        <v>378</v>
      </c>
      <c r="C314" s="180" t="s">
        <v>546</v>
      </c>
      <c r="D314" s="180" t="s">
        <v>993</v>
      </c>
      <c r="E314" s="180">
        <v>4</v>
      </c>
      <c r="F314" s="180"/>
      <c r="G314" s="180" t="s">
        <v>1028</v>
      </c>
      <c r="H314" s="180" t="s">
        <v>376</v>
      </c>
      <c r="I314" s="180"/>
      <c r="J314" s="180"/>
      <c r="K314" s="180"/>
      <c r="L314" s="180"/>
      <c r="M314" s="180"/>
      <c r="N314" s="180"/>
      <c r="O314" s="180"/>
    </row>
    <row r="315" spans="1:15" ht="16" x14ac:dyDescent="0.2">
      <c r="A315" s="180" t="s">
        <v>333</v>
      </c>
      <c r="B315" s="180">
        <v>379</v>
      </c>
      <c r="C315" s="180" t="s">
        <v>1029</v>
      </c>
      <c r="D315" s="180" t="s">
        <v>993</v>
      </c>
      <c r="E315" s="180">
        <v>4</v>
      </c>
      <c r="F315" s="180"/>
      <c r="G315" s="180" t="s">
        <v>1030</v>
      </c>
      <c r="H315" s="180" t="s">
        <v>376</v>
      </c>
      <c r="I315" s="180"/>
      <c r="J315" s="180"/>
      <c r="K315" s="180"/>
      <c r="L315" s="180"/>
      <c r="M315" s="180"/>
      <c r="N315" s="180"/>
      <c r="O315" s="180"/>
    </row>
    <row r="316" spans="1:15" ht="16" x14ac:dyDescent="0.2">
      <c r="A316" s="180" t="s">
        <v>333</v>
      </c>
      <c r="B316" s="180">
        <v>380</v>
      </c>
      <c r="C316" s="180" t="s">
        <v>1031</v>
      </c>
      <c r="D316" s="180" t="s">
        <v>347</v>
      </c>
      <c r="E316" s="180">
        <v>2</v>
      </c>
      <c r="F316" s="180"/>
      <c r="G316" s="180" t="s">
        <v>1032</v>
      </c>
      <c r="H316" s="180" t="s">
        <v>376</v>
      </c>
      <c r="I316" s="180"/>
      <c r="J316" s="180"/>
      <c r="K316" s="180"/>
      <c r="L316" s="180"/>
      <c r="M316" s="180"/>
      <c r="N316" s="180"/>
      <c r="O316" s="180"/>
    </row>
    <row r="317" spans="1:15" ht="16" x14ac:dyDescent="0.2">
      <c r="A317" s="180" t="s">
        <v>333</v>
      </c>
      <c r="B317" s="180">
        <v>381</v>
      </c>
      <c r="C317" s="180" t="s">
        <v>1033</v>
      </c>
      <c r="D317" s="180" t="s">
        <v>393</v>
      </c>
      <c r="E317" s="180">
        <v>3</v>
      </c>
      <c r="F317" s="180"/>
      <c r="G317" s="180" t="s">
        <v>1034</v>
      </c>
      <c r="H317" s="180" t="s">
        <v>376</v>
      </c>
      <c r="I317" s="180"/>
      <c r="J317" s="180"/>
      <c r="K317" s="180"/>
      <c r="L317" s="180"/>
      <c r="M317" s="180"/>
      <c r="N317" s="180"/>
      <c r="O317" s="180"/>
    </row>
    <row r="318" spans="1:15" ht="16" x14ac:dyDescent="0.2">
      <c r="A318" s="180" t="s">
        <v>333</v>
      </c>
      <c r="B318" s="180">
        <v>382</v>
      </c>
      <c r="C318" s="180" t="s">
        <v>1035</v>
      </c>
      <c r="D318" s="180" t="s">
        <v>370</v>
      </c>
      <c r="E318" s="180">
        <v>0</v>
      </c>
      <c r="F318" s="180"/>
      <c r="G318" s="180" t="s">
        <v>1036</v>
      </c>
      <c r="H318" s="180" t="s">
        <v>376</v>
      </c>
      <c r="I318" s="180" t="s">
        <v>1867</v>
      </c>
      <c r="J318" s="180"/>
      <c r="K318" s="180"/>
      <c r="L318" s="180"/>
      <c r="M318" s="180"/>
      <c r="N318" s="180"/>
      <c r="O318" s="180"/>
    </row>
    <row r="319" spans="1:15" ht="16" x14ac:dyDescent="0.2">
      <c r="A319" s="180" t="s">
        <v>333</v>
      </c>
      <c r="B319" s="180">
        <v>383</v>
      </c>
      <c r="C319" s="180" t="s">
        <v>1037</v>
      </c>
      <c r="D319" s="180" t="s">
        <v>1038</v>
      </c>
      <c r="E319" s="180">
        <v>0</v>
      </c>
      <c r="F319" s="180"/>
      <c r="G319" s="180" t="s">
        <v>1039</v>
      </c>
      <c r="H319" s="180" t="s">
        <v>376</v>
      </c>
      <c r="I319" s="180"/>
      <c r="J319" s="180"/>
      <c r="K319" s="180"/>
      <c r="L319" s="180"/>
      <c r="M319" s="180"/>
      <c r="N319" s="180"/>
      <c r="O319" s="180"/>
    </row>
    <row r="320" spans="1:15" ht="16" x14ac:dyDescent="0.2">
      <c r="A320" s="180" t="s">
        <v>333</v>
      </c>
      <c r="B320" s="180">
        <v>384</v>
      </c>
      <c r="C320" s="180" t="s">
        <v>1040</v>
      </c>
      <c r="D320" s="180" t="s">
        <v>370</v>
      </c>
      <c r="E320" s="180">
        <v>0</v>
      </c>
      <c r="F320" s="180"/>
      <c r="G320" s="180" t="s">
        <v>1041</v>
      </c>
      <c r="H320" s="180" t="s">
        <v>376</v>
      </c>
      <c r="I320" s="180"/>
      <c r="J320" s="180"/>
      <c r="K320" s="180"/>
      <c r="L320" s="180"/>
      <c r="M320" s="180"/>
      <c r="N320" s="180"/>
      <c r="O320" s="180"/>
    </row>
    <row r="321" spans="1:15" ht="16" x14ac:dyDescent="0.2">
      <c r="A321" s="180" t="s">
        <v>329</v>
      </c>
      <c r="B321" s="180">
        <v>385</v>
      </c>
      <c r="C321" s="180" t="s">
        <v>498</v>
      </c>
      <c r="D321" s="180" t="s">
        <v>378</v>
      </c>
      <c r="E321" s="180">
        <v>1</v>
      </c>
      <c r="F321" s="180"/>
      <c r="G321" s="180" t="s">
        <v>499</v>
      </c>
      <c r="H321" s="180" t="s">
        <v>376</v>
      </c>
      <c r="I321" s="180"/>
      <c r="J321" s="180"/>
      <c r="K321" s="180"/>
      <c r="L321" s="180"/>
      <c r="M321" s="180"/>
      <c r="N321" s="180"/>
      <c r="O321" s="180"/>
    </row>
    <row r="322" spans="1:15" ht="16" x14ac:dyDescent="0.2">
      <c r="A322" s="180" t="s">
        <v>329</v>
      </c>
      <c r="B322" s="180">
        <v>386</v>
      </c>
      <c r="C322" s="180" t="s">
        <v>991</v>
      </c>
      <c r="D322" s="180" t="s">
        <v>342</v>
      </c>
      <c r="E322" s="180">
        <v>2</v>
      </c>
      <c r="F322" s="180"/>
      <c r="G322" s="180" t="s">
        <v>992</v>
      </c>
      <c r="H322" s="180" t="s">
        <v>376</v>
      </c>
      <c r="I322" s="180"/>
      <c r="J322" s="180"/>
      <c r="K322" s="180"/>
      <c r="L322" s="180"/>
      <c r="M322" s="180"/>
      <c r="N322" s="180"/>
      <c r="O322" s="180"/>
    </row>
    <row r="323" spans="1:15" ht="16" x14ac:dyDescent="0.2">
      <c r="A323" s="180" t="s">
        <v>333</v>
      </c>
      <c r="B323" s="180">
        <v>387</v>
      </c>
      <c r="C323" s="180" t="s">
        <v>1046</v>
      </c>
      <c r="D323" s="180" t="s">
        <v>697</v>
      </c>
      <c r="E323" s="180">
        <v>4</v>
      </c>
      <c r="F323" s="180"/>
      <c r="G323" s="180" t="s">
        <v>1047</v>
      </c>
      <c r="H323" s="180" t="s">
        <v>376</v>
      </c>
      <c r="I323" s="180"/>
      <c r="J323" s="180"/>
      <c r="K323" s="180"/>
      <c r="L323" s="180"/>
      <c r="M323" s="180"/>
      <c r="N323" s="180"/>
      <c r="O323" s="180"/>
    </row>
    <row r="324" spans="1:15" ht="16" x14ac:dyDescent="0.2">
      <c r="A324" s="180" t="s">
        <v>333</v>
      </c>
      <c r="B324" s="180">
        <v>388</v>
      </c>
      <c r="C324" s="180" t="s">
        <v>1048</v>
      </c>
      <c r="D324" s="180" t="s">
        <v>364</v>
      </c>
      <c r="E324" s="180">
        <v>1</v>
      </c>
      <c r="F324" s="180"/>
      <c r="G324" s="180" t="s">
        <v>1049</v>
      </c>
      <c r="H324" s="180" t="s">
        <v>376</v>
      </c>
      <c r="I324" s="180"/>
      <c r="J324" s="180"/>
      <c r="K324" s="180"/>
      <c r="L324" s="180"/>
      <c r="M324" s="180"/>
      <c r="N324" s="180"/>
      <c r="O324" s="180"/>
    </row>
    <row r="325" spans="1:15" ht="16" x14ac:dyDescent="0.2">
      <c r="A325" s="180" t="s">
        <v>333</v>
      </c>
      <c r="B325" s="180">
        <v>389</v>
      </c>
      <c r="C325" s="180" t="s">
        <v>1050</v>
      </c>
      <c r="D325" s="180" t="s">
        <v>375</v>
      </c>
      <c r="E325" s="180">
        <v>1</v>
      </c>
      <c r="F325" s="180"/>
      <c r="G325" s="180"/>
      <c r="H325" s="180" t="s">
        <v>376</v>
      </c>
      <c r="I325" s="180"/>
      <c r="J325" s="180"/>
      <c r="K325" s="180"/>
      <c r="L325" s="180"/>
      <c r="M325" s="180"/>
      <c r="N325" s="180"/>
      <c r="O325" s="180"/>
    </row>
    <row r="326" spans="1:15" ht="16" x14ac:dyDescent="0.2">
      <c r="A326" s="180" t="s">
        <v>333</v>
      </c>
      <c r="B326" s="180">
        <v>391</v>
      </c>
      <c r="C326" s="180" t="s">
        <v>1051</v>
      </c>
      <c r="D326" s="180" t="s">
        <v>378</v>
      </c>
      <c r="E326" s="180">
        <v>1</v>
      </c>
      <c r="F326" s="180"/>
      <c r="G326" s="180" t="s">
        <v>1052</v>
      </c>
      <c r="H326" s="180" t="s">
        <v>376</v>
      </c>
      <c r="I326" s="180" t="s">
        <v>1868</v>
      </c>
      <c r="J326" s="180"/>
      <c r="K326" s="180"/>
      <c r="L326" s="180"/>
      <c r="M326" s="180"/>
      <c r="N326" s="180"/>
      <c r="O326" s="180"/>
    </row>
    <row r="327" spans="1:15" ht="16" x14ac:dyDescent="0.2">
      <c r="A327" s="180" t="s">
        <v>333</v>
      </c>
      <c r="B327" s="180">
        <v>392</v>
      </c>
      <c r="C327" s="180" t="s">
        <v>1053</v>
      </c>
      <c r="D327" s="180" t="s">
        <v>1038</v>
      </c>
      <c r="E327" s="180">
        <v>0</v>
      </c>
      <c r="F327" s="180"/>
      <c r="G327" s="180" t="s">
        <v>1054</v>
      </c>
      <c r="H327" s="180" t="s">
        <v>376</v>
      </c>
      <c r="I327" s="180" t="s">
        <v>1869</v>
      </c>
      <c r="J327" s="180"/>
      <c r="K327" s="180"/>
      <c r="L327" s="180"/>
      <c r="M327" s="180"/>
      <c r="N327" s="180"/>
      <c r="O327" s="180"/>
    </row>
    <row r="328" spans="1:15" ht="16" x14ac:dyDescent="0.2">
      <c r="A328" s="180" t="s">
        <v>329</v>
      </c>
      <c r="B328" s="180">
        <v>393</v>
      </c>
      <c r="C328" s="180" t="s">
        <v>500</v>
      </c>
      <c r="D328" s="180" t="s">
        <v>378</v>
      </c>
      <c r="E328" s="180">
        <v>1</v>
      </c>
      <c r="F328" s="180"/>
      <c r="G328" s="180" t="s">
        <v>501</v>
      </c>
      <c r="H328" s="180" t="s">
        <v>376</v>
      </c>
      <c r="I328" s="180"/>
      <c r="J328" s="180"/>
      <c r="K328" s="180"/>
      <c r="L328" s="180"/>
      <c r="M328" s="180"/>
      <c r="N328" s="180"/>
      <c r="O328" s="180"/>
    </row>
    <row r="329" spans="1:15" ht="16" x14ac:dyDescent="0.2">
      <c r="A329" s="180" t="s">
        <v>329</v>
      </c>
      <c r="B329" s="180">
        <v>394</v>
      </c>
      <c r="C329" s="180" t="s">
        <v>996</v>
      </c>
      <c r="D329" s="180" t="s">
        <v>342</v>
      </c>
      <c r="E329" s="180">
        <v>2</v>
      </c>
      <c r="F329" s="180"/>
      <c r="G329" s="180" t="s">
        <v>997</v>
      </c>
      <c r="H329" s="180" t="s">
        <v>376</v>
      </c>
      <c r="I329" s="180"/>
      <c r="J329" s="180"/>
      <c r="K329" s="180"/>
      <c r="L329" s="180"/>
      <c r="M329" s="180"/>
      <c r="N329" s="180"/>
      <c r="O329" s="180"/>
    </row>
    <row r="330" spans="1:15" ht="16" x14ac:dyDescent="0.2">
      <c r="A330" s="180" t="s">
        <v>333</v>
      </c>
      <c r="B330" s="180">
        <v>395</v>
      </c>
      <c r="C330" s="180" t="s">
        <v>1058</v>
      </c>
      <c r="D330" s="180" t="s">
        <v>697</v>
      </c>
      <c r="E330" s="180">
        <v>4</v>
      </c>
      <c r="F330" s="180"/>
      <c r="G330" s="180" t="s">
        <v>1059</v>
      </c>
      <c r="H330" s="180" t="s">
        <v>376</v>
      </c>
      <c r="I330" s="180"/>
      <c r="J330" s="180"/>
      <c r="K330" s="180"/>
      <c r="L330" s="180"/>
      <c r="M330" s="180"/>
      <c r="N330" s="180"/>
      <c r="O330" s="180"/>
    </row>
    <row r="331" spans="1:15" ht="16" x14ac:dyDescent="0.2">
      <c r="A331" s="180" t="s">
        <v>333</v>
      </c>
      <c r="B331" s="180">
        <v>396</v>
      </c>
      <c r="C331" s="180" t="s">
        <v>1060</v>
      </c>
      <c r="D331" s="180" t="s">
        <v>362</v>
      </c>
      <c r="E331" s="180">
        <v>0</v>
      </c>
      <c r="F331" s="180"/>
      <c r="G331" s="180" t="s">
        <v>1061</v>
      </c>
      <c r="H331" s="180" t="s">
        <v>376</v>
      </c>
      <c r="I331" s="180"/>
      <c r="J331" s="180"/>
      <c r="K331" s="180"/>
      <c r="L331" s="180"/>
      <c r="M331" s="180"/>
      <c r="N331" s="180"/>
      <c r="O331" s="180"/>
    </row>
    <row r="332" spans="1:15" ht="16" x14ac:dyDescent="0.2">
      <c r="A332" s="180" t="s">
        <v>333</v>
      </c>
      <c r="B332" s="180">
        <v>397</v>
      </c>
      <c r="C332" s="180" t="s">
        <v>1062</v>
      </c>
      <c r="D332" s="180" t="s">
        <v>347</v>
      </c>
      <c r="E332" s="180">
        <v>2</v>
      </c>
      <c r="F332" s="180"/>
      <c r="G332" s="180" t="s">
        <v>1063</v>
      </c>
      <c r="H332" s="180" t="s">
        <v>376</v>
      </c>
      <c r="I332" s="180"/>
      <c r="J332" s="180"/>
      <c r="K332" s="180"/>
      <c r="L332" s="180"/>
      <c r="M332" s="180"/>
      <c r="N332" s="180"/>
      <c r="O332" s="180"/>
    </row>
    <row r="333" spans="1:15" ht="16" x14ac:dyDescent="0.2">
      <c r="A333" s="180" t="s">
        <v>333</v>
      </c>
      <c r="B333" s="180">
        <v>398</v>
      </c>
      <c r="C333" s="180" t="s">
        <v>1064</v>
      </c>
      <c r="D333" s="180" t="s">
        <v>364</v>
      </c>
      <c r="E333" s="180">
        <v>1</v>
      </c>
      <c r="F333" s="180"/>
      <c r="G333" s="180" t="s">
        <v>363</v>
      </c>
      <c r="H333" s="180" t="s">
        <v>376</v>
      </c>
      <c r="I333" s="180"/>
      <c r="J333" s="180"/>
      <c r="K333" s="180"/>
      <c r="L333" s="180"/>
      <c r="M333" s="180"/>
      <c r="N333" s="180"/>
      <c r="O333" s="180"/>
    </row>
    <row r="334" spans="1:15" ht="16" x14ac:dyDescent="0.2">
      <c r="A334" s="180" t="s">
        <v>333</v>
      </c>
      <c r="B334" s="180">
        <v>399</v>
      </c>
      <c r="C334" s="180" t="s">
        <v>1065</v>
      </c>
      <c r="D334" s="180" t="s">
        <v>364</v>
      </c>
      <c r="E334" s="180">
        <v>1</v>
      </c>
      <c r="F334" s="180"/>
      <c r="G334" s="180" t="s">
        <v>363</v>
      </c>
      <c r="H334" s="180" t="s">
        <v>376</v>
      </c>
      <c r="I334" s="180"/>
      <c r="J334" s="180"/>
      <c r="K334" s="180"/>
      <c r="L334" s="180"/>
      <c r="M334" s="180"/>
      <c r="N334" s="180"/>
      <c r="O334" s="180"/>
    </row>
    <row r="335" spans="1:15" ht="16" x14ac:dyDescent="0.2">
      <c r="A335" s="180" t="s">
        <v>373</v>
      </c>
      <c r="B335" s="180">
        <v>401</v>
      </c>
      <c r="C335" s="180" t="s">
        <v>1066</v>
      </c>
      <c r="D335" s="180" t="s">
        <v>375</v>
      </c>
      <c r="E335" s="180">
        <v>1</v>
      </c>
      <c r="F335" s="180"/>
      <c r="G335" s="180"/>
      <c r="H335" s="180" t="s">
        <v>376</v>
      </c>
      <c r="I335" s="180"/>
      <c r="J335" s="180"/>
      <c r="K335" s="180"/>
      <c r="L335" s="180"/>
      <c r="M335" s="180"/>
      <c r="N335" s="180"/>
      <c r="O335" s="180"/>
    </row>
    <row r="336" spans="1:15" ht="16" x14ac:dyDescent="0.2">
      <c r="A336" s="180" t="s">
        <v>373</v>
      </c>
      <c r="B336" s="180">
        <v>402</v>
      </c>
      <c r="C336" s="180" t="s">
        <v>1067</v>
      </c>
      <c r="D336" s="180" t="s">
        <v>378</v>
      </c>
      <c r="E336" s="180">
        <v>1</v>
      </c>
      <c r="F336" s="180"/>
      <c r="G336" s="180" t="s">
        <v>1068</v>
      </c>
      <c r="H336" s="180" t="s">
        <v>376</v>
      </c>
      <c r="I336" s="180"/>
      <c r="J336" s="180"/>
      <c r="K336" s="180"/>
      <c r="L336" s="180"/>
      <c r="M336" s="180"/>
      <c r="N336" s="180"/>
      <c r="O336" s="180"/>
    </row>
    <row r="337" spans="1:15" ht="16" x14ac:dyDescent="0.2">
      <c r="A337" s="180" t="s">
        <v>333</v>
      </c>
      <c r="B337" s="180">
        <v>403</v>
      </c>
      <c r="C337" s="180" t="s">
        <v>1069</v>
      </c>
      <c r="D337" s="180" t="s">
        <v>364</v>
      </c>
      <c r="E337" s="180">
        <v>1</v>
      </c>
      <c r="F337" s="180"/>
      <c r="G337" s="180" t="s">
        <v>363</v>
      </c>
      <c r="H337" s="180" t="s">
        <v>376</v>
      </c>
      <c r="I337" s="180"/>
      <c r="J337" s="180"/>
      <c r="K337" s="180"/>
      <c r="L337" s="180"/>
      <c r="M337" s="180"/>
      <c r="N337" s="180"/>
      <c r="O337" s="180"/>
    </row>
    <row r="338" spans="1:15" ht="16" x14ac:dyDescent="0.2">
      <c r="A338" s="180" t="s">
        <v>373</v>
      </c>
      <c r="B338" s="180">
        <v>404</v>
      </c>
      <c r="C338" s="180" t="s">
        <v>1070</v>
      </c>
      <c r="D338" s="180" t="s">
        <v>378</v>
      </c>
      <c r="E338" s="180">
        <v>1</v>
      </c>
      <c r="F338" s="180"/>
      <c r="G338" s="180" t="s">
        <v>1071</v>
      </c>
      <c r="H338" s="180" t="s">
        <v>376</v>
      </c>
      <c r="I338" s="180"/>
      <c r="J338" s="180"/>
      <c r="K338" s="180"/>
      <c r="L338" s="180"/>
      <c r="M338" s="180"/>
      <c r="N338" s="180"/>
      <c r="O338" s="180"/>
    </row>
    <row r="339" spans="1:15" ht="16" x14ac:dyDescent="0.2">
      <c r="A339" s="180" t="s">
        <v>333</v>
      </c>
      <c r="B339" s="180">
        <v>406</v>
      </c>
      <c r="C339" s="180" t="s">
        <v>1073</v>
      </c>
      <c r="D339" s="180" t="s">
        <v>470</v>
      </c>
      <c r="E339" s="180">
        <v>5</v>
      </c>
      <c r="F339" s="180"/>
      <c r="G339" s="180" t="s">
        <v>1074</v>
      </c>
      <c r="H339" s="180" t="s">
        <v>376</v>
      </c>
      <c r="I339" s="180"/>
      <c r="J339" s="180"/>
      <c r="K339" s="180"/>
      <c r="L339" s="180"/>
      <c r="M339" s="180"/>
      <c r="N339" s="180"/>
      <c r="O339" s="180"/>
    </row>
    <row r="340" spans="1:15" ht="16" x14ac:dyDescent="0.2">
      <c r="A340" s="180" t="s">
        <v>333</v>
      </c>
      <c r="B340" s="180">
        <v>407</v>
      </c>
      <c r="C340" s="180" t="s">
        <v>1075</v>
      </c>
      <c r="D340" s="180" t="s">
        <v>869</v>
      </c>
      <c r="E340" s="180">
        <v>6</v>
      </c>
      <c r="F340" s="180"/>
      <c r="G340" s="180" t="s">
        <v>1076</v>
      </c>
      <c r="H340" s="180" t="s">
        <v>376</v>
      </c>
      <c r="I340" s="180"/>
      <c r="J340" s="180"/>
      <c r="K340" s="180"/>
      <c r="L340" s="180"/>
      <c r="M340" s="180"/>
      <c r="N340" s="180"/>
      <c r="O340" s="180"/>
    </row>
    <row r="341" spans="1:15" ht="16" x14ac:dyDescent="0.2">
      <c r="A341" s="180" t="s">
        <v>333</v>
      </c>
      <c r="B341" s="180">
        <v>408</v>
      </c>
      <c r="C341" s="180" t="s">
        <v>1077</v>
      </c>
      <c r="D341" s="180" t="s">
        <v>470</v>
      </c>
      <c r="E341" s="180">
        <v>5</v>
      </c>
      <c r="F341" s="180"/>
      <c r="G341" s="180" t="s">
        <v>1078</v>
      </c>
      <c r="H341" s="180" t="s">
        <v>376</v>
      </c>
      <c r="I341" s="180"/>
      <c r="J341" s="180"/>
      <c r="K341" s="180"/>
      <c r="L341" s="180"/>
      <c r="M341" s="180"/>
      <c r="N341" s="180"/>
      <c r="O341" s="180"/>
    </row>
    <row r="342" spans="1:15" ht="16" x14ac:dyDescent="0.2">
      <c r="A342" s="180" t="s">
        <v>333</v>
      </c>
      <c r="B342" s="180">
        <v>409</v>
      </c>
      <c r="C342" s="180" t="s">
        <v>1079</v>
      </c>
      <c r="D342" s="180" t="s">
        <v>1080</v>
      </c>
      <c r="E342" s="180">
        <v>7</v>
      </c>
      <c r="F342" s="180"/>
      <c r="G342" s="180" t="s">
        <v>1081</v>
      </c>
      <c r="H342" s="180" t="s">
        <v>376</v>
      </c>
      <c r="I342" s="180"/>
      <c r="J342" s="180"/>
      <c r="K342" s="180"/>
      <c r="L342" s="180"/>
      <c r="M342" s="180"/>
      <c r="N342" s="180"/>
      <c r="O342" s="180"/>
    </row>
    <row r="343" spans="1:15" ht="16" x14ac:dyDescent="0.2">
      <c r="A343" s="180" t="s">
        <v>451</v>
      </c>
      <c r="B343" s="180">
        <v>416</v>
      </c>
      <c r="C343" s="180" t="s">
        <v>1083</v>
      </c>
      <c r="D343" s="180" t="s">
        <v>342</v>
      </c>
      <c r="E343" s="180">
        <v>2</v>
      </c>
      <c r="F343" s="180"/>
      <c r="G343" s="180" t="s">
        <v>1084</v>
      </c>
      <c r="H343" s="180" t="s">
        <v>376</v>
      </c>
      <c r="I343" s="180"/>
      <c r="J343" s="180"/>
      <c r="K343" s="180"/>
      <c r="L343" s="180"/>
      <c r="M343" s="180"/>
      <c r="N343" s="180"/>
      <c r="O343" s="180"/>
    </row>
    <row r="344" spans="1:15" ht="16" x14ac:dyDescent="0.2">
      <c r="A344" s="180" t="s">
        <v>451</v>
      </c>
      <c r="B344" s="180">
        <v>417</v>
      </c>
      <c r="C344" s="180" t="s">
        <v>1085</v>
      </c>
      <c r="D344" s="180" t="s">
        <v>378</v>
      </c>
      <c r="E344" s="180">
        <v>1</v>
      </c>
      <c r="F344" s="180"/>
      <c r="G344" s="180" t="s">
        <v>1086</v>
      </c>
      <c r="H344" s="180" t="s">
        <v>376</v>
      </c>
      <c r="I344" s="180"/>
      <c r="J344" s="180"/>
      <c r="K344" s="180"/>
      <c r="L344" s="180"/>
      <c r="M344" s="180"/>
      <c r="N344" s="180"/>
      <c r="O344" s="180"/>
    </row>
    <row r="345" spans="1:15" ht="16" x14ac:dyDescent="0.2">
      <c r="A345" s="180" t="s">
        <v>333</v>
      </c>
      <c r="B345" s="180">
        <v>418</v>
      </c>
      <c r="C345" s="180" t="s">
        <v>1087</v>
      </c>
      <c r="D345" s="180" t="s">
        <v>1088</v>
      </c>
      <c r="E345" s="180">
        <v>1.2</v>
      </c>
      <c r="F345" s="180"/>
      <c r="G345" s="180" t="s">
        <v>1089</v>
      </c>
      <c r="H345" s="180" t="s">
        <v>376</v>
      </c>
      <c r="I345" s="180"/>
      <c r="J345" s="180" t="s">
        <v>160</v>
      </c>
      <c r="K345" s="180"/>
      <c r="L345" s="180"/>
      <c r="M345" s="180"/>
      <c r="N345" s="180"/>
      <c r="O345" s="180"/>
    </row>
    <row r="346" spans="1:15" ht="16" x14ac:dyDescent="0.2">
      <c r="A346" s="180" t="s">
        <v>333</v>
      </c>
      <c r="B346" s="180">
        <v>419</v>
      </c>
      <c r="C346" s="180" t="s">
        <v>1090</v>
      </c>
      <c r="D346" s="180" t="s">
        <v>859</v>
      </c>
      <c r="E346" s="180">
        <v>0.5</v>
      </c>
      <c r="F346" s="180"/>
      <c r="G346" s="180" t="s">
        <v>1091</v>
      </c>
      <c r="H346" s="180" t="s">
        <v>376</v>
      </c>
      <c r="I346" s="180"/>
      <c r="J346" s="180" t="s">
        <v>160</v>
      </c>
      <c r="K346" s="180"/>
      <c r="L346" s="180"/>
      <c r="M346" s="180"/>
      <c r="N346" s="180"/>
      <c r="O346" s="180"/>
    </row>
    <row r="347" spans="1:15" ht="16" x14ac:dyDescent="0.2">
      <c r="A347" s="180" t="s">
        <v>1092</v>
      </c>
      <c r="B347" s="180">
        <v>420</v>
      </c>
      <c r="C347" s="180" t="s">
        <v>1093</v>
      </c>
      <c r="D347" s="180" t="s">
        <v>470</v>
      </c>
      <c r="E347" s="180">
        <v>5</v>
      </c>
      <c r="F347" s="180"/>
      <c r="G347" s="180" t="s">
        <v>1094</v>
      </c>
      <c r="H347" s="180" t="s">
        <v>376</v>
      </c>
      <c r="I347" s="180"/>
      <c r="J347" s="180"/>
      <c r="K347" s="180"/>
      <c r="L347" s="180"/>
      <c r="M347" s="180"/>
      <c r="N347" s="180"/>
      <c r="O347" s="180"/>
    </row>
    <row r="348" spans="1:15" ht="16" x14ac:dyDescent="0.2">
      <c r="A348" s="180" t="s">
        <v>333</v>
      </c>
      <c r="B348" s="180">
        <v>421</v>
      </c>
      <c r="C348" s="180" t="s">
        <v>1095</v>
      </c>
      <c r="D348" s="180" t="s">
        <v>869</v>
      </c>
      <c r="E348" s="180">
        <v>6</v>
      </c>
      <c r="F348" s="180"/>
      <c r="G348" s="180" t="s">
        <v>1096</v>
      </c>
      <c r="H348" s="180" t="s">
        <v>376</v>
      </c>
      <c r="I348" s="180"/>
      <c r="J348" s="180"/>
      <c r="K348" s="180"/>
      <c r="L348" s="180"/>
      <c r="M348" s="180"/>
      <c r="N348" s="180"/>
      <c r="O348" s="180"/>
    </row>
    <row r="349" spans="1:15" ht="16" x14ac:dyDescent="0.2">
      <c r="A349" s="180" t="s">
        <v>333</v>
      </c>
      <c r="B349" s="180">
        <v>422</v>
      </c>
      <c r="C349" s="180" t="s">
        <v>1097</v>
      </c>
      <c r="D349" s="180" t="s">
        <v>1080</v>
      </c>
      <c r="E349" s="180">
        <v>7</v>
      </c>
      <c r="F349" s="180"/>
      <c r="G349" s="180" t="s">
        <v>1098</v>
      </c>
      <c r="H349" s="180" t="s">
        <v>376</v>
      </c>
      <c r="I349" s="180"/>
      <c r="J349" s="180"/>
      <c r="K349" s="180"/>
      <c r="L349" s="180"/>
      <c r="M349" s="180"/>
      <c r="N349" s="180"/>
      <c r="O349" s="180"/>
    </row>
    <row r="350" spans="1:15" ht="16" x14ac:dyDescent="0.2">
      <c r="A350" s="180" t="s">
        <v>333</v>
      </c>
      <c r="B350" s="180">
        <v>423</v>
      </c>
      <c r="C350" s="180" t="s">
        <v>1099</v>
      </c>
      <c r="D350" s="180" t="s">
        <v>393</v>
      </c>
      <c r="E350" s="180">
        <v>3</v>
      </c>
      <c r="F350" s="180"/>
      <c r="G350" s="180" t="s">
        <v>1100</v>
      </c>
      <c r="H350" s="180" t="s">
        <v>376</v>
      </c>
      <c r="I350" s="180"/>
      <c r="J350" s="180"/>
      <c r="K350" s="180"/>
      <c r="L350" s="180"/>
      <c r="M350" s="180"/>
      <c r="N350" s="180"/>
      <c r="O350" s="180"/>
    </row>
    <row r="351" spans="1:15" ht="16" x14ac:dyDescent="0.2">
      <c r="A351" s="180" t="s">
        <v>333</v>
      </c>
      <c r="B351" s="180">
        <v>424</v>
      </c>
      <c r="C351" s="180" t="s">
        <v>1101</v>
      </c>
      <c r="D351" s="180" t="s">
        <v>407</v>
      </c>
      <c r="E351" s="180">
        <v>10</v>
      </c>
      <c r="F351" s="180"/>
      <c r="G351" s="180" t="s">
        <v>1102</v>
      </c>
      <c r="H351" s="180" t="s">
        <v>376</v>
      </c>
      <c r="I351" s="180"/>
      <c r="J351" s="180"/>
      <c r="K351" s="180"/>
      <c r="L351" s="180"/>
      <c r="M351" s="180"/>
      <c r="N351" s="180"/>
      <c r="O351" s="180"/>
    </row>
    <row r="352" spans="1:15" ht="16" x14ac:dyDescent="0.2">
      <c r="A352" s="180" t="s">
        <v>333</v>
      </c>
      <c r="B352" s="180">
        <v>425</v>
      </c>
      <c r="C352" s="180" t="s">
        <v>1103</v>
      </c>
      <c r="D352" s="180" t="s">
        <v>1104</v>
      </c>
      <c r="E352" s="180">
        <v>12</v>
      </c>
      <c r="F352" s="180"/>
      <c r="G352" s="180" t="s">
        <v>1105</v>
      </c>
      <c r="H352" s="180" t="s">
        <v>376</v>
      </c>
      <c r="I352" s="180"/>
      <c r="J352" s="180"/>
      <c r="K352" s="180"/>
      <c r="L352" s="180"/>
      <c r="M352" s="180"/>
      <c r="N352" s="180"/>
      <c r="O352" s="180"/>
    </row>
    <row r="353" spans="1:15" ht="16" x14ac:dyDescent="0.2">
      <c r="A353" s="180" t="s">
        <v>333</v>
      </c>
      <c r="B353" s="180">
        <v>426</v>
      </c>
      <c r="C353" s="180" t="s">
        <v>1106</v>
      </c>
      <c r="D353" s="180" t="s">
        <v>404</v>
      </c>
      <c r="E353" s="180">
        <v>30</v>
      </c>
      <c r="F353" s="190">
        <f>PartD!$B$9</f>
        <v>0.3</v>
      </c>
      <c r="G353" s="180" t="s">
        <v>1107</v>
      </c>
      <c r="H353" s="180" t="s">
        <v>376</v>
      </c>
      <c r="I353" s="180"/>
      <c r="J353" s="180"/>
      <c r="K353" s="180"/>
      <c r="L353" s="180"/>
      <c r="M353" s="180"/>
      <c r="N353" s="180"/>
      <c r="O353" s="180"/>
    </row>
    <row r="354" spans="1:15" ht="16" x14ac:dyDescent="0.2">
      <c r="A354" s="180" t="s">
        <v>333</v>
      </c>
      <c r="B354" s="180">
        <v>428</v>
      </c>
      <c r="C354" s="180" t="s">
        <v>1108</v>
      </c>
      <c r="D354" s="180" t="s">
        <v>404</v>
      </c>
      <c r="E354" s="180">
        <v>30</v>
      </c>
      <c r="F354" s="180">
        <f>E353</f>
        <v>30</v>
      </c>
      <c r="G354" s="180" t="s">
        <v>1109</v>
      </c>
      <c r="H354" s="180" t="s">
        <v>376</v>
      </c>
      <c r="I354" s="180"/>
      <c r="J354" s="180"/>
      <c r="K354" s="180"/>
      <c r="L354" s="180"/>
      <c r="M354" s="180"/>
      <c r="N354" s="180"/>
      <c r="O354" s="180"/>
    </row>
    <row r="355" spans="1:15" ht="16" x14ac:dyDescent="0.2">
      <c r="A355" s="180" t="s">
        <v>333</v>
      </c>
      <c r="B355" s="180">
        <v>429</v>
      </c>
      <c r="C355" s="180" t="s">
        <v>1110</v>
      </c>
      <c r="D355" s="180" t="s">
        <v>1111</v>
      </c>
      <c r="E355" s="180">
        <v>1.8100000000000002E-2</v>
      </c>
      <c r="F355" s="193">
        <f>PartD!C33</f>
        <v>1.8125724792777957E-2</v>
      </c>
      <c r="G355" s="180" t="s">
        <v>363</v>
      </c>
      <c r="H355" s="180" t="s">
        <v>376</v>
      </c>
      <c r="I355" s="180"/>
      <c r="J355" s="180"/>
      <c r="K355" s="180"/>
      <c r="L355" s="180"/>
      <c r="M355" s="180"/>
      <c r="N355" s="180"/>
      <c r="O355" s="180"/>
    </row>
    <row r="356" spans="1:15" ht="16" x14ac:dyDescent="0.2">
      <c r="A356" s="180" t="s">
        <v>333</v>
      </c>
      <c r="B356" s="180">
        <v>430</v>
      </c>
      <c r="C356" s="180" t="s">
        <v>1112</v>
      </c>
      <c r="D356" s="180" t="s">
        <v>364</v>
      </c>
      <c r="E356" s="180">
        <v>1</v>
      </c>
      <c r="F356" s="180"/>
      <c r="G356" s="180" t="s">
        <v>1113</v>
      </c>
      <c r="H356" s="180" t="s">
        <v>376</v>
      </c>
      <c r="I356" s="180"/>
      <c r="J356" s="180"/>
      <c r="K356" s="180"/>
      <c r="L356" s="180"/>
      <c r="M356" s="180"/>
      <c r="N356" s="180"/>
      <c r="O356" s="180"/>
    </row>
    <row r="357" spans="1:15" ht="16" x14ac:dyDescent="0.2">
      <c r="A357" s="180" t="s">
        <v>333</v>
      </c>
      <c r="B357" s="180">
        <v>431</v>
      </c>
      <c r="C357" s="180" t="s">
        <v>1114</v>
      </c>
      <c r="D357" s="180" t="s">
        <v>1115</v>
      </c>
      <c r="E357" s="180">
        <v>25.5</v>
      </c>
      <c r="F357" s="186">
        <f>PartD!$D$24</f>
        <v>0.255</v>
      </c>
      <c r="G357" s="180" t="s">
        <v>1116</v>
      </c>
      <c r="H357" s="180" t="s">
        <v>376</v>
      </c>
      <c r="I357" s="180"/>
      <c r="J357" s="180"/>
      <c r="K357" s="180"/>
      <c r="L357" s="180"/>
      <c r="M357" s="180"/>
      <c r="N357" s="180"/>
      <c r="O357" s="180"/>
    </row>
    <row r="358" spans="1:15" ht="16" x14ac:dyDescent="0.2">
      <c r="A358" s="180" t="s">
        <v>333</v>
      </c>
      <c r="B358" s="180">
        <v>432</v>
      </c>
      <c r="C358" s="180" t="s">
        <v>1117</v>
      </c>
      <c r="D358" s="180" t="s">
        <v>1118</v>
      </c>
      <c r="E358" s="180">
        <v>4.2599999999999999E-2</v>
      </c>
      <c r="F358" s="193">
        <f>PartD!D33</f>
        <v>4.2555226834213401E-2</v>
      </c>
      <c r="G358" s="180" t="s">
        <v>1119</v>
      </c>
      <c r="H358" s="180" t="s">
        <v>376</v>
      </c>
      <c r="I358" s="180"/>
      <c r="J358" s="180"/>
      <c r="K358" s="180"/>
      <c r="L358" s="180"/>
      <c r="M358" s="180"/>
      <c r="N358" s="180"/>
      <c r="O358" s="180"/>
    </row>
    <row r="359" spans="1:15" ht="16" x14ac:dyDescent="0.2">
      <c r="A359" s="180" t="s">
        <v>333</v>
      </c>
      <c r="B359" s="180">
        <v>433</v>
      </c>
      <c r="C359" s="180" t="s">
        <v>1120</v>
      </c>
      <c r="D359" s="180" t="s">
        <v>910</v>
      </c>
      <c r="E359" s="180">
        <v>21</v>
      </c>
      <c r="F359" s="186">
        <f>PartD!$E$24</f>
        <v>0.21</v>
      </c>
      <c r="G359" s="180" t="s">
        <v>1121</v>
      </c>
      <c r="H359" s="180" t="s">
        <v>376</v>
      </c>
      <c r="I359" s="180"/>
      <c r="J359" s="180"/>
      <c r="K359" s="180"/>
      <c r="L359" s="180"/>
      <c r="M359" s="180"/>
      <c r="N359" s="180"/>
      <c r="O359" s="180"/>
    </row>
    <row r="360" spans="1:15" ht="16" x14ac:dyDescent="0.2">
      <c r="A360" s="180" t="s">
        <v>329</v>
      </c>
      <c r="B360" s="180">
        <v>434</v>
      </c>
      <c r="C360" s="180" t="s">
        <v>1000</v>
      </c>
      <c r="D360" s="180" t="s">
        <v>342</v>
      </c>
      <c r="E360" s="180">
        <v>2</v>
      </c>
      <c r="F360" s="180"/>
      <c r="G360" s="180" t="s">
        <v>1001</v>
      </c>
      <c r="H360" s="180" t="s">
        <v>376</v>
      </c>
      <c r="I360" s="180"/>
      <c r="J360" s="180"/>
      <c r="K360" s="180"/>
      <c r="L360" s="180"/>
      <c r="M360" s="180"/>
      <c r="N360" s="180"/>
      <c r="O360" s="180"/>
    </row>
    <row r="361" spans="1:15" ht="16" x14ac:dyDescent="0.2">
      <c r="A361" s="180" t="s">
        <v>333</v>
      </c>
      <c r="B361" s="180">
        <v>435</v>
      </c>
      <c r="C361" s="180" t="s">
        <v>1122</v>
      </c>
      <c r="D361" s="180" t="s">
        <v>1123</v>
      </c>
      <c r="E361" s="180">
        <v>7.7399999999999997E-2</v>
      </c>
      <c r="F361" s="193">
        <f>PartD!E33</f>
        <v>7.7353436418270097E-2</v>
      </c>
      <c r="G361" s="180" t="s">
        <v>1124</v>
      </c>
      <c r="H361" s="180" t="s">
        <v>376</v>
      </c>
      <c r="I361" s="180"/>
      <c r="J361" s="180"/>
      <c r="K361" s="180"/>
      <c r="L361" s="180"/>
      <c r="M361" s="180"/>
      <c r="N361" s="180"/>
      <c r="O361" s="180"/>
    </row>
    <row r="362" spans="1:15" ht="16" x14ac:dyDescent="0.2">
      <c r="A362" s="180" t="s">
        <v>333</v>
      </c>
      <c r="B362" s="180">
        <v>436</v>
      </c>
      <c r="C362" s="180" t="s">
        <v>1125</v>
      </c>
      <c r="D362" s="180" t="s">
        <v>462</v>
      </c>
      <c r="E362" s="180">
        <v>10.1</v>
      </c>
      <c r="F362" s="186">
        <f>PartD!$F$24</f>
        <v>0.10145052782120562</v>
      </c>
      <c r="G362" s="180" t="s">
        <v>1126</v>
      </c>
      <c r="H362" s="180" t="s">
        <v>376</v>
      </c>
      <c r="I362" s="180"/>
      <c r="J362" s="180"/>
      <c r="K362" s="180"/>
      <c r="L362" s="180"/>
      <c r="M362" s="180"/>
      <c r="N362" s="180"/>
      <c r="O362" s="180"/>
    </row>
    <row r="363" spans="1:15" ht="16" x14ac:dyDescent="0.2">
      <c r="A363" s="180" t="s">
        <v>333</v>
      </c>
      <c r="B363" s="180">
        <v>438</v>
      </c>
      <c r="C363" s="180" t="s">
        <v>1127</v>
      </c>
      <c r="D363" s="180" t="s">
        <v>1128</v>
      </c>
      <c r="E363" s="180">
        <v>0.28799999999999998</v>
      </c>
      <c r="F363" s="191">
        <f>PartD!F33</f>
        <v>0.28776440752673282</v>
      </c>
      <c r="G363" s="180" t="s">
        <v>389</v>
      </c>
      <c r="H363" s="180" t="s">
        <v>376</v>
      </c>
      <c r="I363" s="180"/>
      <c r="J363" s="180"/>
      <c r="K363" s="180"/>
      <c r="L363" s="180"/>
      <c r="M363" s="180"/>
      <c r="N363" s="180"/>
      <c r="O363" s="180"/>
    </row>
    <row r="364" spans="1:15" ht="16" x14ac:dyDescent="0.2">
      <c r="A364" s="180" t="s">
        <v>333</v>
      </c>
      <c r="B364" s="180">
        <v>439</v>
      </c>
      <c r="C364" s="180" t="s">
        <v>1129</v>
      </c>
      <c r="D364" s="180" t="s">
        <v>1130</v>
      </c>
      <c r="E364" s="180">
        <v>5</v>
      </c>
      <c r="F364" s="183">
        <f>Tables12!$C$5</f>
        <v>-4.9569402718106392E-2</v>
      </c>
      <c r="G364" s="180" t="s">
        <v>1131</v>
      </c>
      <c r="H364" s="180" t="s">
        <v>376</v>
      </c>
      <c r="I364" s="180"/>
      <c r="J364" s="180"/>
      <c r="K364" s="180"/>
      <c r="L364" s="180"/>
      <c r="M364" s="180"/>
      <c r="N364" s="180"/>
      <c r="O364" s="180"/>
    </row>
    <row r="365" spans="1:15" ht="16" x14ac:dyDescent="0.2">
      <c r="A365" s="180" t="s">
        <v>451</v>
      </c>
      <c r="B365" s="180">
        <v>440</v>
      </c>
      <c r="C365" s="180" t="s">
        <v>1132</v>
      </c>
      <c r="D365" s="180" t="s">
        <v>378</v>
      </c>
      <c r="E365" s="180">
        <v>1</v>
      </c>
      <c r="F365" s="180"/>
      <c r="G365" s="180" t="s">
        <v>1133</v>
      </c>
      <c r="H365" s="180" t="s">
        <v>376</v>
      </c>
      <c r="I365" s="180"/>
      <c r="J365" s="180"/>
      <c r="K365" s="180"/>
      <c r="L365" s="180"/>
      <c r="M365" s="180"/>
      <c r="N365" s="180"/>
      <c r="O365" s="180"/>
    </row>
    <row r="366" spans="1:15" ht="16" x14ac:dyDescent="0.2">
      <c r="A366" s="180" t="s">
        <v>1092</v>
      </c>
      <c r="B366" s="180">
        <v>441</v>
      </c>
      <c r="C366" s="180" t="s">
        <v>1134</v>
      </c>
      <c r="D366" s="180" t="s">
        <v>407</v>
      </c>
      <c r="E366" s="180">
        <v>10</v>
      </c>
      <c r="F366" s="180"/>
      <c r="G366" s="180" t="s">
        <v>1135</v>
      </c>
      <c r="H366" s="180" t="s">
        <v>376</v>
      </c>
      <c r="I366" s="180"/>
      <c r="J366" s="180"/>
      <c r="K366" s="180"/>
      <c r="L366" s="180"/>
      <c r="M366" s="180"/>
      <c r="N366" s="180"/>
      <c r="O366" s="180"/>
    </row>
    <row r="367" spans="1:15" ht="16" x14ac:dyDescent="0.2">
      <c r="A367" s="180" t="s">
        <v>333</v>
      </c>
      <c r="B367" s="180">
        <v>443</v>
      </c>
      <c r="C367" s="180" t="s">
        <v>1136</v>
      </c>
      <c r="D367" s="180" t="s">
        <v>1111</v>
      </c>
      <c r="E367" s="180">
        <v>1.8100000000000002E-2</v>
      </c>
      <c r="F367" s="180">
        <f>E355</f>
        <v>1.8100000000000002E-2</v>
      </c>
      <c r="G367" s="180" t="s">
        <v>1137</v>
      </c>
      <c r="H367" s="180" t="s">
        <v>376</v>
      </c>
      <c r="I367" s="180"/>
      <c r="J367" s="180"/>
      <c r="K367" s="180"/>
      <c r="L367" s="180"/>
      <c r="M367" s="180"/>
      <c r="N367" s="180"/>
      <c r="O367" s="180"/>
    </row>
    <row r="368" spans="1:15" ht="16" x14ac:dyDescent="0.2">
      <c r="A368" s="180" t="s">
        <v>333</v>
      </c>
      <c r="B368" s="180">
        <v>444</v>
      </c>
      <c r="C368" s="180" t="s">
        <v>1138</v>
      </c>
      <c r="D368" s="180" t="s">
        <v>1118</v>
      </c>
      <c r="E368" s="180">
        <v>4.2599999999999999E-2</v>
      </c>
      <c r="F368" s="180">
        <f>E358</f>
        <v>4.2599999999999999E-2</v>
      </c>
      <c r="G368" s="180" t="s">
        <v>363</v>
      </c>
      <c r="H368" s="180" t="s">
        <v>376</v>
      </c>
      <c r="I368" s="180"/>
      <c r="J368" s="180"/>
      <c r="K368" s="180"/>
      <c r="L368" s="180"/>
      <c r="M368" s="180"/>
      <c r="N368" s="180"/>
      <c r="O368" s="180"/>
    </row>
    <row r="369" spans="1:15" ht="16" x14ac:dyDescent="0.2">
      <c r="A369" s="180" t="s">
        <v>373</v>
      </c>
      <c r="B369" s="180">
        <v>445</v>
      </c>
      <c r="C369" s="180" t="s">
        <v>1139</v>
      </c>
      <c r="D369" s="180" t="s">
        <v>378</v>
      </c>
      <c r="E369" s="180">
        <v>1</v>
      </c>
      <c r="F369" s="180"/>
      <c r="G369" s="180" t="s">
        <v>1140</v>
      </c>
      <c r="H369" s="180" t="s">
        <v>376</v>
      </c>
      <c r="I369" s="180"/>
      <c r="J369" s="180"/>
      <c r="K369" s="180"/>
      <c r="L369" s="180"/>
      <c r="M369" s="180"/>
      <c r="N369" s="180"/>
      <c r="O369" s="180"/>
    </row>
    <row r="370" spans="1:15" ht="16" x14ac:dyDescent="0.2">
      <c r="A370" s="180" t="s">
        <v>333</v>
      </c>
      <c r="B370" s="180">
        <v>446</v>
      </c>
      <c r="C370" s="180" t="s">
        <v>1141</v>
      </c>
      <c r="D370" s="180" t="s">
        <v>1080</v>
      </c>
      <c r="E370" s="180">
        <v>7</v>
      </c>
      <c r="F370" s="180"/>
      <c r="G370" s="180" t="s">
        <v>1142</v>
      </c>
      <c r="H370" s="180" t="s">
        <v>376</v>
      </c>
      <c r="I370" s="180" t="s">
        <v>1870</v>
      </c>
      <c r="J370" s="180"/>
      <c r="K370" s="180"/>
      <c r="L370" s="180"/>
      <c r="M370" s="180"/>
      <c r="N370" s="180"/>
      <c r="O370" s="180"/>
    </row>
    <row r="371" spans="1:15" ht="16" x14ac:dyDescent="0.2">
      <c r="A371" s="180" t="s">
        <v>333</v>
      </c>
      <c r="B371" s="180">
        <v>447</v>
      </c>
      <c r="C371" s="180" t="s">
        <v>1143</v>
      </c>
      <c r="D371" s="180" t="s">
        <v>362</v>
      </c>
      <c r="E371" s="180">
        <v>0</v>
      </c>
      <c r="F371" s="180"/>
      <c r="G371" s="180" t="s">
        <v>1144</v>
      </c>
      <c r="H371" s="180" t="s">
        <v>376</v>
      </c>
      <c r="I371" s="180"/>
      <c r="J371" s="180"/>
      <c r="K371" s="180"/>
      <c r="L371" s="180"/>
      <c r="M371" s="180"/>
      <c r="N371" s="180"/>
      <c r="O371" s="180"/>
    </row>
    <row r="372" spans="1:15" ht="16" x14ac:dyDescent="0.2">
      <c r="A372" s="180" t="s">
        <v>333</v>
      </c>
      <c r="B372" s="180">
        <v>448</v>
      </c>
      <c r="C372" s="180" t="s">
        <v>1145</v>
      </c>
      <c r="D372" s="180" t="s">
        <v>1080</v>
      </c>
      <c r="E372" s="180">
        <v>7</v>
      </c>
      <c r="F372" s="180"/>
      <c r="G372" s="180" t="s">
        <v>1146</v>
      </c>
      <c r="H372" s="180" t="s">
        <v>376</v>
      </c>
      <c r="I372" s="180"/>
      <c r="J372" s="180"/>
      <c r="K372" s="180"/>
      <c r="L372" s="180"/>
      <c r="M372" s="180"/>
      <c r="N372" s="180"/>
      <c r="O372" s="180"/>
    </row>
    <row r="373" spans="1:15" ht="16" x14ac:dyDescent="0.2">
      <c r="A373" s="180" t="s">
        <v>333</v>
      </c>
      <c r="B373" s="180">
        <v>449</v>
      </c>
      <c r="C373" s="180" t="s">
        <v>1147</v>
      </c>
      <c r="D373" s="180" t="s">
        <v>445</v>
      </c>
      <c r="E373" s="180">
        <v>100</v>
      </c>
      <c r="F373" s="180"/>
      <c r="G373" s="180" t="s">
        <v>1148</v>
      </c>
      <c r="H373" s="180" t="s">
        <v>376</v>
      </c>
      <c r="I373" s="180"/>
      <c r="J373" s="180"/>
      <c r="K373" s="180"/>
      <c r="L373" s="180"/>
      <c r="M373" s="180"/>
      <c r="N373" s="180"/>
      <c r="O373" s="180"/>
    </row>
    <row r="374" spans="1:15" ht="16" x14ac:dyDescent="0.2">
      <c r="A374" s="180" t="s">
        <v>333</v>
      </c>
      <c r="B374" s="180">
        <v>451</v>
      </c>
      <c r="C374" s="180" t="s">
        <v>1149</v>
      </c>
      <c r="D374" s="180" t="s">
        <v>352</v>
      </c>
      <c r="E374" s="180">
        <v>2022</v>
      </c>
      <c r="F374" s="180"/>
      <c r="G374" s="180" t="s">
        <v>389</v>
      </c>
      <c r="H374" s="180" t="s">
        <v>376</v>
      </c>
      <c r="I374" s="180"/>
      <c r="J374" s="180"/>
      <c r="K374" s="180"/>
      <c r="L374" s="180"/>
      <c r="M374" s="180"/>
      <c r="N374" s="180"/>
      <c r="O374" s="180"/>
    </row>
    <row r="375" spans="1:15" ht="16" x14ac:dyDescent="0.2">
      <c r="A375" s="180" t="s">
        <v>333</v>
      </c>
      <c r="B375" s="180">
        <v>453</v>
      </c>
      <c r="C375" s="180" t="s">
        <v>1150</v>
      </c>
      <c r="D375" s="180" t="s">
        <v>370</v>
      </c>
      <c r="E375" s="180">
        <v>0</v>
      </c>
      <c r="F375" s="180"/>
      <c r="G375" s="180" t="s">
        <v>1151</v>
      </c>
      <c r="H375" s="180" t="s">
        <v>376</v>
      </c>
      <c r="I375" s="180"/>
      <c r="J375" s="180"/>
      <c r="K375" s="180"/>
      <c r="L375" s="180"/>
      <c r="M375" s="180"/>
      <c r="N375" s="180"/>
      <c r="O375" s="180"/>
    </row>
    <row r="376" spans="1:15" ht="16" x14ac:dyDescent="0.2">
      <c r="A376" s="180" t="s">
        <v>333</v>
      </c>
      <c r="B376" s="180">
        <v>455</v>
      </c>
      <c r="C376" s="180" t="s">
        <v>1152</v>
      </c>
      <c r="D376" s="180" t="s">
        <v>1080</v>
      </c>
      <c r="E376" s="180">
        <v>7</v>
      </c>
      <c r="F376" s="180"/>
      <c r="G376" s="180" t="s">
        <v>389</v>
      </c>
      <c r="H376" s="180" t="s">
        <v>376</v>
      </c>
      <c r="I376" s="180"/>
      <c r="J376" s="180"/>
      <c r="K376" s="180"/>
      <c r="L376" s="180"/>
      <c r="M376" s="180"/>
      <c r="N376" s="180"/>
      <c r="O376" s="180"/>
    </row>
    <row r="377" spans="1:15" ht="16" x14ac:dyDescent="0.2">
      <c r="A377" s="180" t="s">
        <v>333</v>
      </c>
      <c r="B377" s="180">
        <v>456</v>
      </c>
      <c r="C377" s="180" t="s">
        <v>1153</v>
      </c>
      <c r="D377" s="180" t="s">
        <v>364</v>
      </c>
      <c r="E377" s="180">
        <v>1</v>
      </c>
      <c r="F377" s="180"/>
      <c r="G377" s="180" t="s">
        <v>1154</v>
      </c>
      <c r="H377" s="180" t="s">
        <v>376</v>
      </c>
      <c r="I377" s="180" t="s">
        <v>85</v>
      </c>
      <c r="J377" s="180"/>
      <c r="K377" s="180"/>
      <c r="L377" s="180"/>
      <c r="M377" s="180"/>
      <c r="N377" s="180"/>
      <c r="O377" s="180"/>
    </row>
    <row r="378" spans="1:15" ht="16" x14ac:dyDescent="0.2">
      <c r="A378" s="180" t="s">
        <v>333</v>
      </c>
      <c r="B378" s="180">
        <v>457</v>
      </c>
      <c r="C378" s="180" t="s">
        <v>1155</v>
      </c>
      <c r="D378" s="180" t="s">
        <v>370</v>
      </c>
      <c r="E378" s="180">
        <v>0</v>
      </c>
      <c r="F378" s="180"/>
      <c r="G378" s="180" t="s">
        <v>1156</v>
      </c>
      <c r="H378" s="180" t="s">
        <v>376</v>
      </c>
      <c r="I378" s="180" t="s">
        <v>85</v>
      </c>
      <c r="J378" s="180"/>
      <c r="K378" s="180"/>
      <c r="L378" s="180"/>
      <c r="M378" s="180"/>
      <c r="N378" s="180"/>
      <c r="O378" s="180"/>
    </row>
    <row r="379" spans="1:15" ht="16" x14ac:dyDescent="0.2">
      <c r="A379" s="180" t="s">
        <v>1092</v>
      </c>
      <c r="B379" s="180">
        <v>458</v>
      </c>
      <c r="C379" s="180" t="s">
        <v>1157</v>
      </c>
      <c r="D379" s="180" t="s">
        <v>470</v>
      </c>
      <c r="E379" s="180">
        <v>5</v>
      </c>
      <c r="F379" s="180"/>
      <c r="G379" s="180" t="s">
        <v>1158</v>
      </c>
      <c r="H379" s="180" t="s">
        <v>376</v>
      </c>
      <c r="I379" s="180"/>
      <c r="J379" s="180"/>
      <c r="K379" s="180"/>
      <c r="L379" s="180"/>
      <c r="M379" s="180"/>
      <c r="N379" s="180"/>
      <c r="O379" s="180"/>
    </row>
    <row r="380" spans="1:15" ht="16" x14ac:dyDescent="0.2">
      <c r="A380" s="180" t="s">
        <v>333</v>
      </c>
      <c r="B380" s="180">
        <v>459</v>
      </c>
      <c r="C380" s="180" t="s">
        <v>1159</v>
      </c>
      <c r="D380" s="180" t="s">
        <v>869</v>
      </c>
      <c r="E380" s="180">
        <v>6</v>
      </c>
      <c r="F380" s="180"/>
      <c r="G380" s="180" t="s">
        <v>1160</v>
      </c>
      <c r="H380" s="180" t="s">
        <v>376</v>
      </c>
      <c r="I380" s="180"/>
      <c r="J380" s="180"/>
      <c r="K380" s="180"/>
      <c r="L380" s="180"/>
      <c r="M380" s="180"/>
      <c r="N380" s="180"/>
      <c r="O380" s="180"/>
    </row>
    <row r="381" spans="1:15" ht="16" x14ac:dyDescent="0.2">
      <c r="A381" s="180" t="s">
        <v>333</v>
      </c>
      <c r="B381" s="180">
        <v>460</v>
      </c>
      <c r="C381" s="180" t="s">
        <v>1161</v>
      </c>
      <c r="D381" s="180" t="s">
        <v>1080</v>
      </c>
      <c r="E381" s="180">
        <v>7</v>
      </c>
      <c r="F381" s="180"/>
      <c r="G381" s="180" t="s">
        <v>389</v>
      </c>
      <c r="H381" s="180" t="s">
        <v>376</v>
      </c>
      <c r="I381" s="180"/>
      <c r="J381" s="180"/>
      <c r="K381" s="180"/>
      <c r="L381" s="180"/>
      <c r="M381" s="180"/>
      <c r="N381" s="180"/>
      <c r="O381" s="180"/>
    </row>
    <row r="382" spans="1:15" ht="16" x14ac:dyDescent="0.2">
      <c r="A382" s="180" t="s">
        <v>333</v>
      </c>
      <c r="B382" s="180">
        <v>462</v>
      </c>
      <c r="C382" s="180" t="s">
        <v>1162</v>
      </c>
      <c r="D382" s="180" t="s">
        <v>440</v>
      </c>
      <c r="E382" s="180">
        <v>75</v>
      </c>
      <c r="F382" s="180">
        <f>E49</f>
        <v>75</v>
      </c>
      <c r="G382" s="180" t="s">
        <v>1163</v>
      </c>
      <c r="H382" s="180" t="s">
        <v>376</v>
      </c>
      <c r="I382" s="180"/>
      <c r="J382" s="180"/>
      <c r="K382" s="180"/>
      <c r="L382" s="180"/>
      <c r="M382" s="180"/>
      <c r="N382" s="180"/>
      <c r="O382" s="180"/>
    </row>
    <row r="383" spans="1:15" ht="16" x14ac:dyDescent="0.2">
      <c r="A383" s="180" t="s">
        <v>333</v>
      </c>
      <c r="B383" s="180">
        <v>463</v>
      </c>
      <c r="C383" s="180" t="s">
        <v>1164</v>
      </c>
      <c r="D383" s="180" t="s">
        <v>660</v>
      </c>
      <c r="E383" s="180">
        <v>2022</v>
      </c>
      <c r="F383" s="180"/>
      <c r="G383" s="180"/>
      <c r="H383" s="180" t="s">
        <v>376</v>
      </c>
      <c r="I383" s="180"/>
      <c r="J383" s="180"/>
      <c r="K383" s="180"/>
      <c r="L383" s="180"/>
      <c r="M383" s="180"/>
      <c r="N383" s="180"/>
      <c r="O383" s="180"/>
    </row>
    <row r="384" spans="1:15" ht="16" x14ac:dyDescent="0.2">
      <c r="A384" s="180" t="s">
        <v>333</v>
      </c>
      <c r="B384" s="180">
        <v>464</v>
      </c>
      <c r="C384" s="180" t="s">
        <v>1165</v>
      </c>
      <c r="D384" s="180" t="s">
        <v>459</v>
      </c>
      <c r="E384" s="180">
        <v>0.5</v>
      </c>
      <c r="F384" s="180"/>
      <c r="G384" s="180" t="s">
        <v>1166</v>
      </c>
      <c r="H384" s="180" t="s">
        <v>376</v>
      </c>
      <c r="I384" s="180"/>
      <c r="J384" s="180"/>
      <c r="K384" s="180"/>
      <c r="L384" s="180"/>
      <c r="M384" s="180"/>
      <c r="N384" s="180"/>
      <c r="O384" s="180"/>
    </row>
    <row r="385" spans="1:15" ht="16" x14ac:dyDescent="0.2">
      <c r="A385" s="180" t="s">
        <v>333</v>
      </c>
      <c r="B385" s="180">
        <v>465</v>
      </c>
      <c r="C385" s="180" t="s">
        <v>1167</v>
      </c>
      <c r="D385" s="180" t="s">
        <v>839</v>
      </c>
      <c r="E385" s="180">
        <v>0.25</v>
      </c>
      <c r="F385" s="180">
        <f>E346*E384</f>
        <v>0.25</v>
      </c>
      <c r="G385" s="180" t="s">
        <v>1168</v>
      </c>
      <c r="H385" s="180" t="s">
        <v>376</v>
      </c>
      <c r="I385" s="180"/>
      <c r="J385" s="180"/>
      <c r="K385" s="180"/>
      <c r="L385" s="180"/>
      <c r="M385" s="180"/>
      <c r="N385" s="180"/>
      <c r="O385" s="180"/>
    </row>
    <row r="386" spans="1:15" ht="16" x14ac:dyDescent="0.2">
      <c r="A386" s="180" t="s">
        <v>333</v>
      </c>
      <c r="B386" s="180">
        <v>466</v>
      </c>
      <c r="C386" s="180" t="s">
        <v>1169</v>
      </c>
      <c r="D386" s="180" t="s">
        <v>378</v>
      </c>
      <c r="E386" s="180">
        <v>1</v>
      </c>
      <c r="F386" s="180"/>
      <c r="G386" s="180" t="s">
        <v>1170</v>
      </c>
      <c r="H386" s="180" t="s">
        <v>376</v>
      </c>
      <c r="I386" s="180"/>
      <c r="J386" s="180"/>
      <c r="K386" s="180"/>
      <c r="L386" s="180"/>
      <c r="M386" s="180"/>
      <c r="N386" s="180"/>
      <c r="O386" s="180"/>
    </row>
    <row r="387" spans="1:15" ht="16" x14ac:dyDescent="0.2">
      <c r="A387" s="180" t="s">
        <v>333</v>
      </c>
      <c r="B387" s="180">
        <v>467</v>
      </c>
      <c r="C387" s="180" t="s">
        <v>1171</v>
      </c>
      <c r="D387" s="180" t="s">
        <v>1172</v>
      </c>
      <c r="E387" s="180">
        <v>1.1000000000000001</v>
      </c>
      <c r="F387" s="180">
        <f>AVERAGE(E386,E345)</f>
        <v>1.1000000000000001</v>
      </c>
      <c r="G387" s="180" t="s">
        <v>1173</v>
      </c>
      <c r="H387" s="180" t="s">
        <v>376</v>
      </c>
      <c r="I387" s="180"/>
      <c r="J387" s="180"/>
      <c r="K387" s="180"/>
      <c r="L387" s="180"/>
      <c r="M387" s="180"/>
      <c r="N387" s="180"/>
      <c r="O387" s="180"/>
    </row>
    <row r="388" spans="1:15" ht="16" x14ac:dyDescent="0.2">
      <c r="A388" s="180" t="s">
        <v>1092</v>
      </c>
      <c r="B388" s="180">
        <v>468</v>
      </c>
      <c r="C388" s="180" t="s">
        <v>1174</v>
      </c>
      <c r="D388" s="180" t="s">
        <v>470</v>
      </c>
      <c r="E388" s="180">
        <v>5</v>
      </c>
      <c r="F388" s="180"/>
      <c r="G388" s="180" t="s">
        <v>1175</v>
      </c>
      <c r="H388" s="180" t="s">
        <v>376</v>
      </c>
      <c r="I388" s="180"/>
      <c r="J388" s="180"/>
      <c r="K388" s="180"/>
      <c r="L388" s="180"/>
      <c r="M388" s="180"/>
      <c r="N388" s="180"/>
      <c r="O388" s="180"/>
    </row>
    <row r="389" spans="1:15" ht="16" x14ac:dyDescent="0.2">
      <c r="A389" s="180" t="s">
        <v>333</v>
      </c>
      <c r="B389" s="180">
        <v>469</v>
      </c>
      <c r="C389" s="180" t="s">
        <v>1176</v>
      </c>
      <c r="D389" s="180" t="s">
        <v>1080</v>
      </c>
      <c r="E389" s="180">
        <v>7</v>
      </c>
      <c r="F389" s="180"/>
      <c r="G389" s="180" t="s">
        <v>1177</v>
      </c>
      <c r="H389" s="180" t="s">
        <v>376</v>
      </c>
      <c r="I389" s="180"/>
      <c r="J389" s="180"/>
      <c r="K389" s="180"/>
      <c r="L389" s="180"/>
      <c r="M389" s="180"/>
      <c r="N389" s="180"/>
      <c r="O389" s="180"/>
    </row>
    <row r="390" spans="1:15" ht="16" x14ac:dyDescent="0.2">
      <c r="A390" s="180" t="s">
        <v>333</v>
      </c>
      <c r="B390" s="180">
        <v>470</v>
      </c>
      <c r="C390" s="180" t="s">
        <v>1178</v>
      </c>
      <c r="D390" s="180" t="s">
        <v>393</v>
      </c>
      <c r="E390" s="180">
        <v>3</v>
      </c>
      <c r="F390" s="180"/>
      <c r="G390" s="180" t="s">
        <v>1179</v>
      </c>
      <c r="H390" s="180" t="s">
        <v>376</v>
      </c>
      <c r="I390" s="180"/>
      <c r="J390" s="180"/>
      <c r="K390" s="180"/>
      <c r="L390" s="180"/>
      <c r="M390" s="180"/>
      <c r="N390" s="180"/>
      <c r="O390" s="180"/>
    </row>
    <row r="391" spans="1:15" ht="16" x14ac:dyDescent="0.2">
      <c r="A391" s="180" t="s">
        <v>333</v>
      </c>
      <c r="B391" s="180">
        <v>471</v>
      </c>
      <c r="C391" s="180" t="s">
        <v>1180</v>
      </c>
      <c r="D391" s="180" t="s">
        <v>1181</v>
      </c>
      <c r="E391" s="180">
        <v>13</v>
      </c>
      <c r="F391" s="180"/>
      <c r="G391" s="180" t="s">
        <v>1182</v>
      </c>
      <c r="H391" s="180" t="s">
        <v>376</v>
      </c>
      <c r="I391" s="180"/>
      <c r="J391" s="180"/>
      <c r="K391" s="180"/>
      <c r="L391" s="180"/>
      <c r="M391" s="180"/>
      <c r="N391" s="180"/>
      <c r="O391" s="180"/>
    </row>
    <row r="392" spans="1:15" ht="16" x14ac:dyDescent="0.2">
      <c r="A392" s="180" t="s">
        <v>333</v>
      </c>
      <c r="B392" s="180">
        <v>472</v>
      </c>
      <c r="C392" s="180" t="s">
        <v>1183</v>
      </c>
      <c r="D392" s="180" t="s">
        <v>396</v>
      </c>
      <c r="E392" s="180">
        <v>15</v>
      </c>
      <c r="F392" s="180"/>
      <c r="G392" s="180" t="s">
        <v>1105</v>
      </c>
      <c r="H392" s="180" t="s">
        <v>376</v>
      </c>
      <c r="I392" s="180"/>
      <c r="J392" s="180"/>
      <c r="K392" s="180"/>
      <c r="L392" s="180"/>
      <c r="M392" s="180"/>
      <c r="N392" s="180"/>
      <c r="O392" s="180"/>
    </row>
    <row r="393" spans="1:15" ht="16" x14ac:dyDescent="0.2">
      <c r="A393" s="180" t="s">
        <v>333</v>
      </c>
      <c r="B393" s="180">
        <v>473</v>
      </c>
      <c r="C393" s="180" t="s">
        <v>1184</v>
      </c>
      <c r="D393" s="180" t="s">
        <v>396</v>
      </c>
      <c r="E393" s="180">
        <v>15</v>
      </c>
      <c r="F393" s="180"/>
      <c r="G393" s="180" t="s">
        <v>1185</v>
      </c>
      <c r="H393" s="180" t="s">
        <v>376</v>
      </c>
      <c r="I393" s="180"/>
      <c r="J393" s="180"/>
      <c r="K393" s="180"/>
      <c r="L393" s="180"/>
      <c r="M393" s="180"/>
      <c r="N393" s="180"/>
      <c r="O393" s="180"/>
    </row>
    <row r="394" spans="1:15" ht="16" x14ac:dyDescent="0.2">
      <c r="A394" s="180" t="s">
        <v>333</v>
      </c>
      <c r="B394" s="180">
        <v>474</v>
      </c>
      <c r="C394" s="180" t="s">
        <v>1186</v>
      </c>
      <c r="D394" s="180" t="s">
        <v>396</v>
      </c>
      <c r="E394" s="180">
        <v>15</v>
      </c>
      <c r="F394" s="180">
        <f>E26</f>
        <v>15</v>
      </c>
      <c r="G394" s="180" t="s">
        <v>1187</v>
      </c>
      <c r="H394" s="180" t="s">
        <v>376</v>
      </c>
      <c r="I394" s="180"/>
      <c r="J394" s="180"/>
      <c r="K394" s="180"/>
      <c r="L394" s="180"/>
      <c r="M394" s="180"/>
      <c r="N394" s="180"/>
      <c r="O394" s="180"/>
    </row>
    <row r="395" spans="1:15" ht="16" x14ac:dyDescent="0.2">
      <c r="A395" s="180" t="s">
        <v>333</v>
      </c>
      <c r="B395" s="180">
        <v>475</v>
      </c>
      <c r="C395" s="180" t="s">
        <v>1188</v>
      </c>
      <c r="D395" s="180" t="s">
        <v>440</v>
      </c>
      <c r="E395" s="180">
        <v>75</v>
      </c>
      <c r="F395" s="180">
        <f>E382</f>
        <v>75</v>
      </c>
      <c r="G395" s="180" t="s">
        <v>1189</v>
      </c>
      <c r="H395" s="180" t="s">
        <v>376</v>
      </c>
      <c r="I395" s="180"/>
      <c r="J395" s="180"/>
      <c r="K395" s="180"/>
      <c r="L395" s="180"/>
      <c r="M395" s="180"/>
      <c r="N395" s="180"/>
      <c r="O395" s="180"/>
    </row>
    <row r="396" spans="1:15" ht="16" x14ac:dyDescent="0.2">
      <c r="A396" s="180" t="s">
        <v>333</v>
      </c>
      <c r="B396" s="180">
        <v>476</v>
      </c>
      <c r="C396" s="180" t="s">
        <v>1190</v>
      </c>
      <c r="D396" s="180" t="s">
        <v>1191</v>
      </c>
      <c r="E396" s="180">
        <v>45</v>
      </c>
      <c r="F396" s="180">
        <f>E394*E395/(100-E395)</f>
        <v>45</v>
      </c>
      <c r="G396" s="180" t="s">
        <v>1192</v>
      </c>
      <c r="H396" s="180" t="s">
        <v>376</v>
      </c>
      <c r="I396" s="180"/>
      <c r="J396" s="180"/>
      <c r="K396" s="180"/>
      <c r="L396" s="180"/>
      <c r="M396" s="180"/>
      <c r="N396" s="180"/>
      <c r="O396" s="180"/>
    </row>
    <row r="397" spans="1:15" ht="16" x14ac:dyDescent="0.2">
      <c r="A397" s="180" t="s">
        <v>329</v>
      </c>
      <c r="B397" s="180">
        <v>477</v>
      </c>
      <c r="C397" s="180" t="s">
        <v>1002</v>
      </c>
      <c r="D397" s="180" t="s">
        <v>342</v>
      </c>
      <c r="E397" s="180">
        <v>2</v>
      </c>
      <c r="F397" s="180"/>
      <c r="G397" s="180" t="s">
        <v>1003</v>
      </c>
      <c r="H397" s="180" t="s">
        <v>376</v>
      </c>
      <c r="I397" s="180"/>
      <c r="J397" s="180"/>
      <c r="K397" s="180"/>
      <c r="L397" s="180"/>
      <c r="M397" s="180"/>
      <c r="N397" s="180"/>
      <c r="O397" s="180"/>
    </row>
    <row r="398" spans="1:15" ht="16" x14ac:dyDescent="0.2">
      <c r="A398" s="180" t="s">
        <v>333</v>
      </c>
      <c r="B398" s="180">
        <v>478</v>
      </c>
      <c r="C398" s="180" t="s">
        <v>1193</v>
      </c>
      <c r="D398" s="180" t="s">
        <v>641</v>
      </c>
      <c r="E398" s="180">
        <v>90</v>
      </c>
      <c r="F398" s="180">
        <f>2*E394*E395/(100-E395)</f>
        <v>90</v>
      </c>
      <c r="G398" s="180" t="s">
        <v>339</v>
      </c>
      <c r="H398" s="180" t="s">
        <v>376</v>
      </c>
      <c r="I398" s="180"/>
      <c r="J398" s="180"/>
      <c r="K398" s="180"/>
      <c r="L398" s="180"/>
      <c r="M398" s="180"/>
      <c r="N398" s="180"/>
      <c r="O398" s="180"/>
    </row>
    <row r="399" spans="1:15" ht="16" x14ac:dyDescent="0.2">
      <c r="A399" s="180" t="s">
        <v>333</v>
      </c>
      <c r="B399" s="180">
        <v>479</v>
      </c>
      <c r="C399" s="180" t="s">
        <v>1194</v>
      </c>
      <c r="D399" s="180" t="s">
        <v>370</v>
      </c>
      <c r="E399" s="180">
        <v>0</v>
      </c>
      <c r="F399" s="180">
        <f>E378</f>
        <v>0</v>
      </c>
      <c r="G399" s="180" t="s">
        <v>1195</v>
      </c>
      <c r="H399" s="180" t="s">
        <v>376</v>
      </c>
      <c r="I399" s="180"/>
      <c r="J399" s="180"/>
      <c r="K399" s="180"/>
      <c r="L399" s="180"/>
      <c r="M399" s="180"/>
      <c r="N399" s="180"/>
      <c r="O399" s="180"/>
    </row>
    <row r="400" spans="1:15" ht="16" x14ac:dyDescent="0.2">
      <c r="A400" s="180" t="s">
        <v>333</v>
      </c>
      <c r="B400" s="180">
        <v>480</v>
      </c>
      <c r="C400" s="180" t="s">
        <v>1196</v>
      </c>
      <c r="D400" s="180" t="s">
        <v>1197</v>
      </c>
      <c r="E400" s="180">
        <v>1.6E-2</v>
      </c>
      <c r="F400" s="191">
        <f>InsulinAct!$D$44</f>
        <v>1.6401344601142346E-2</v>
      </c>
      <c r="G400" s="180" t="s">
        <v>1198</v>
      </c>
      <c r="H400" s="180" t="s">
        <v>376</v>
      </c>
      <c r="I400" s="180"/>
      <c r="J400" s="180"/>
      <c r="K400" s="180"/>
      <c r="L400" s="180"/>
      <c r="M400" s="180"/>
      <c r="N400" s="180"/>
      <c r="O400" s="180"/>
    </row>
    <row r="401" spans="1:15" ht="16" x14ac:dyDescent="0.2">
      <c r="A401" s="180" t="s">
        <v>333</v>
      </c>
      <c r="B401" s="180">
        <v>481</v>
      </c>
      <c r="C401" s="180" t="s">
        <v>1199</v>
      </c>
      <c r="D401" s="180" t="s">
        <v>1200</v>
      </c>
      <c r="E401" s="180">
        <v>0.05</v>
      </c>
      <c r="F401" s="191">
        <f>InsulinAct!$E$44</f>
        <v>5.0057695434926504E-2</v>
      </c>
      <c r="G401" s="180" t="s">
        <v>1201</v>
      </c>
      <c r="H401" s="180" t="s">
        <v>376</v>
      </c>
      <c r="I401" s="180"/>
      <c r="J401" s="180"/>
      <c r="K401" s="180"/>
      <c r="L401" s="180"/>
      <c r="M401" s="180"/>
      <c r="N401" s="180"/>
      <c r="O401" s="180"/>
    </row>
    <row r="402" spans="1:15" ht="16" x14ac:dyDescent="0.2">
      <c r="A402" s="180" t="s">
        <v>333</v>
      </c>
      <c r="B402" s="180">
        <v>482</v>
      </c>
      <c r="C402" s="180" t="s">
        <v>1202</v>
      </c>
      <c r="D402" s="180" t="s">
        <v>1181</v>
      </c>
      <c r="E402" s="180">
        <v>13</v>
      </c>
      <c r="F402" s="180"/>
      <c r="G402" s="180" t="s">
        <v>1203</v>
      </c>
      <c r="H402" s="180" t="s">
        <v>376</v>
      </c>
      <c r="I402" s="180" t="s">
        <v>1871</v>
      </c>
      <c r="J402" s="180"/>
      <c r="K402" s="180"/>
      <c r="L402" s="180"/>
      <c r="M402" s="180"/>
      <c r="N402" s="180"/>
      <c r="O402" s="180"/>
    </row>
    <row r="403" spans="1:15" ht="16" x14ac:dyDescent="0.2">
      <c r="A403" s="180" t="s">
        <v>333</v>
      </c>
      <c r="B403" s="180">
        <v>483</v>
      </c>
      <c r="C403" s="180" t="s">
        <v>1204</v>
      </c>
      <c r="D403" s="180" t="s">
        <v>1205</v>
      </c>
      <c r="E403" s="180">
        <v>6.5</v>
      </c>
      <c r="F403" s="186">
        <f>Tables12!$D$5</f>
        <v>-6.5206257732224548E-2</v>
      </c>
      <c r="G403" s="180" t="s">
        <v>1206</v>
      </c>
      <c r="H403" s="180" t="s">
        <v>376</v>
      </c>
      <c r="I403" s="180"/>
      <c r="J403" s="180"/>
      <c r="K403" s="180"/>
      <c r="L403" s="180"/>
      <c r="M403" s="180"/>
      <c r="N403" s="180"/>
      <c r="O403" s="180"/>
    </row>
    <row r="404" spans="1:15" ht="16" x14ac:dyDescent="0.2">
      <c r="A404" s="180" t="s">
        <v>333</v>
      </c>
      <c r="B404" s="180">
        <v>484</v>
      </c>
      <c r="C404" s="180" t="s">
        <v>1207</v>
      </c>
      <c r="D404" s="180" t="s">
        <v>1208</v>
      </c>
      <c r="E404" s="180">
        <v>11.6</v>
      </c>
      <c r="F404" s="186">
        <f>Tables12!$G$5</f>
        <v>-0.11553343970007057</v>
      </c>
      <c r="G404" s="180" t="s">
        <v>1209</v>
      </c>
      <c r="H404" s="180" t="s">
        <v>376</v>
      </c>
      <c r="I404" s="180"/>
      <c r="J404" s="180"/>
      <c r="K404" s="180"/>
      <c r="L404" s="180"/>
      <c r="M404" s="180"/>
      <c r="N404" s="180"/>
      <c r="O404" s="180"/>
    </row>
    <row r="405" spans="1:15" ht="16" x14ac:dyDescent="0.2">
      <c r="A405" s="180" t="s">
        <v>333</v>
      </c>
      <c r="B405" s="180">
        <v>485</v>
      </c>
      <c r="C405" s="180" t="s">
        <v>1210</v>
      </c>
      <c r="D405" s="180" t="s">
        <v>347</v>
      </c>
      <c r="E405" s="180">
        <v>2</v>
      </c>
      <c r="F405" s="180"/>
      <c r="G405" s="180" t="s">
        <v>1211</v>
      </c>
      <c r="H405" s="180" t="s">
        <v>376</v>
      </c>
      <c r="I405" s="180" t="s">
        <v>1872</v>
      </c>
      <c r="J405" s="180"/>
      <c r="K405" s="180"/>
      <c r="L405" s="180"/>
      <c r="M405" s="180"/>
      <c r="N405" s="180"/>
      <c r="O405" s="180"/>
    </row>
    <row r="406" spans="1:15" ht="16" x14ac:dyDescent="0.2">
      <c r="A406" s="180" t="s">
        <v>333</v>
      </c>
      <c r="B406" s="180">
        <v>487</v>
      </c>
      <c r="C406" s="180" t="s">
        <v>1212</v>
      </c>
      <c r="D406" s="180" t="s">
        <v>1213</v>
      </c>
      <c r="E406" s="180">
        <v>0.17199999999999999</v>
      </c>
      <c r="F406" s="191">
        <f>InsulinAct!$F$44</f>
        <v>0.1722377883305978</v>
      </c>
      <c r="G406" s="180" t="s">
        <v>1214</v>
      </c>
      <c r="H406" s="180" t="s">
        <v>376</v>
      </c>
      <c r="I406" s="180"/>
      <c r="J406" s="180"/>
      <c r="K406" s="180"/>
      <c r="L406" s="180"/>
      <c r="M406" s="180"/>
      <c r="N406" s="180"/>
      <c r="O406" s="180"/>
    </row>
    <row r="407" spans="1:15" ht="16" x14ac:dyDescent="0.2">
      <c r="A407" s="180" t="s">
        <v>333</v>
      </c>
      <c r="B407" s="180">
        <v>488</v>
      </c>
      <c r="C407" s="180" t="s">
        <v>425</v>
      </c>
      <c r="D407" s="180" t="s">
        <v>393</v>
      </c>
      <c r="E407" s="180">
        <v>3</v>
      </c>
      <c r="F407" s="180"/>
      <c r="G407" s="180" t="s">
        <v>1215</v>
      </c>
      <c r="H407" s="180" t="s">
        <v>376</v>
      </c>
      <c r="I407" s="180"/>
      <c r="J407" s="180"/>
      <c r="K407" s="180"/>
      <c r="L407" s="180"/>
      <c r="M407" s="180"/>
      <c r="N407" s="180"/>
      <c r="O407" s="180"/>
    </row>
    <row r="408" spans="1:15" ht="16" x14ac:dyDescent="0.2">
      <c r="A408" s="180" t="s">
        <v>451</v>
      </c>
      <c r="B408" s="180">
        <v>489</v>
      </c>
      <c r="C408" s="180" t="s">
        <v>1216</v>
      </c>
      <c r="D408" s="180" t="s">
        <v>378</v>
      </c>
      <c r="E408" s="180">
        <v>1</v>
      </c>
      <c r="F408" s="180"/>
      <c r="G408" s="180" t="s">
        <v>1217</v>
      </c>
      <c r="H408" s="180" t="s">
        <v>376</v>
      </c>
      <c r="I408" s="180"/>
      <c r="J408" s="180"/>
      <c r="K408" s="180"/>
      <c r="L408" s="180"/>
      <c r="M408" s="180"/>
      <c r="N408" s="180"/>
      <c r="O408" s="180"/>
    </row>
    <row r="409" spans="1:15" ht="16" x14ac:dyDescent="0.2">
      <c r="A409" s="180" t="s">
        <v>333</v>
      </c>
      <c r="B409" s="180">
        <v>490</v>
      </c>
      <c r="C409" s="180" t="s">
        <v>1218</v>
      </c>
      <c r="D409" s="180" t="s">
        <v>1219</v>
      </c>
      <c r="E409" s="180">
        <v>48</v>
      </c>
      <c r="F409" s="183">
        <f>InsulinAct!$I$48</f>
        <v>-0.47785007737684071</v>
      </c>
      <c r="G409" s="180" t="s">
        <v>1220</v>
      </c>
      <c r="H409" s="180" t="s">
        <v>376</v>
      </c>
      <c r="I409" s="180"/>
      <c r="J409" s="180"/>
      <c r="K409" s="180"/>
      <c r="L409" s="180"/>
      <c r="M409" s="180"/>
      <c r="N409" s="180"/>
      <c r="O409" s="180"/>
    </row>
    <row r="410" spans="1:15" ht="16" x14ac:dyDescent="0.2">
      <c r="A410" s="180" t="s">
        <v>333</v>
      </c>
      <c r="B410" s="180">
        <v>491</v>
      </c>
      <c r="C410" s="180" t="s">
        <v>1221</v>
      </c>
      <c r="D410" s="180" t="s">
        <v>1222</v>
      </c>
      <c r="E410" s="180">
        <v>41</v>
      </c>
      <c r="F410" s="183">
        <f>InsulinAct!$J$48</f>
        <v>-0.41332444463035634</v>
      </c>
      <c r="G410" s="180" t="s">
        <v>1223</v>
      </c>
      <c r="H410" s="180" t="s">
        <v>376</v>
      </c>
      <c r="I410" s="180"/>
      <c r="J410" s="180"/>
      <c r="K410" s="180"/>
      <c r="L410" s="180"/>
      <c r="M410" s="180"/>
      <c r="N410" s="180"/>
      <c r="O410" s="180"/>
    </row>
    <row r="411" spans="1:15" ht="16" x14ac:dyDescent="0.2">
      <c r="A411" s="180" t="s">
        <v>333</v>
      </c>
      <c r="B411" s="180">
        <v>492</v>
      </c>
      <c r="C411" s="180" t="s">
        <v>1224</v>
      </c>
      <c r="D411" s="180" t="s">
        <v>712</v>
      </c>
      <c r="E411" s="180">
        <v>36</v>
      </c>
      <c r="F411" s="183">
        <f>InsulinAct!$K$48</f>
        <v>-0.35942093664194852</v>
      </c>
      <c r="G411" s="180" t="s">
        <v>1225</v>
      </c>
      <c r="H411" s="180" t="s">
        <v>376</v>
      </c>
      <c r="I411" s="180"/>
      <c r="J411" s="180"/>
      <c r="K411" s="180"/>
      <c r="L411" s="180"/>
      <c r="M411" s="180"/>
      <c r="N411" s="180"/>
      <c r="O411" s="180"/>
    </row>
    <row r="412" spans="1:15" ht="16" x14ac:dyDescent="0.2">
      <c r="A412" s="180" t="s">
        <v>329</v>
      </c>
      <c r="B412" s="180">
        <v>493</v>
      </c>
      <c r="C412" s="180" t="s">
        <v>1004</v>
      </c>
      <c r="D412" s="180" t="s">
        <v>342</v>
      </c>
      <c r="E412" s="180">
        <v>2</v>
      </c>
      <c r="F412" s="180"/>
      <c r="G412" s="180" t="s">
        <v>1005</v>
      </c>
      <c r="H412" s="180" t="s">
        <v>376</v>
      </c>
      <c r="I412" s="180"/>
      <c r="J412" s="180"/>
      <c r="K412" s="180"/>
      <c r="L412" s="180"/>
      <c r="M412" s="180"/>
      <c r="N412" s="180"/>
      <c r="O412" s="180"/>
    </row>
    <row r="413" spans="1:15" ht="16" x14ac:dyDescent="0.2">
      <c r="A413" s="180" t="s">
        <v>333</v>
      </c>
      <c r="B413" s="180">
        <v>495</v>
      </c>
      <c r="C413" s="180" t="s">
        <v>1226</v>
      </c>
      <c r="D413" s="180" t="s">
        <v>497</v>
      </c>
      <c r="E413" s="180">
        <v>3</v>
      </c>
      <c r="F413" s="180"/>
      <c r="G413" s="180" t="s">
        <v>1227</v>
      </c>
      <c r="H413" s="180" t="s">
        <v>376</v>
      </c>
      <c r="I413" s="180"/>
      <c r="J413" s="180"/>
      <c r="K413" s="180"/>
      <c r="L413" s="180"/>
      <c r="M413" s="180"/>
      <c r="N413" s="180"/>
      <c r="O413" s="180"/>
    </row>
    <row r="414" spans="1:15" ht="16" x14ac:dyDescent="0.2">
      <c r="A414" s="180" t="s">
        <v>333</v>
      </c>
      <c r="B414" s="180">
        <v>496</v>
      </c>
      <c r="C414" s="180" t="s">
        <v>1228</v>
      </c>
      <c r="D414" s="180" t="s">
        <v>370</v>
      </c>
      <c r="E414" s="180">
        <v>0</v>
      </c>
      <c r="F414" s="180"/>
      <c r="G414" s="180" t="s">
        <v>1229</v>
      </c>
      <c r="H414" s="180" t="s">
        <v>376</v>
      </c>
      <c r="I414" s="180"/>
      <c r="J414" s="180"/>
      <c r="K414" s="180"/>
      <c r="L414" s="180"/>
      <c r="M414" s="180"/>
      <c r="N414" s="180"/>
      <c r="O414" s="180"/>
    </row>
    <row r="415" spans="1:15" ht="16" x14ac:dyDescent="0.2">
      <c r="A415" s="180" t="s">
        <v>333</v>
      </c>
      <c r="B415" s="180">
        <v>497</v>
      </c>
      <c r="C415" s="180" t="s">
        <v>1230</v>
      </c>
      <c r="D415" s="180" t="s">
        <v>370</v>
      </c>
      <c r="E415" s="180">
        <v>0</v>
      </c>
      <c r="F415" s="180"/>
      <c r="G415" s="180" t="s">
        <v>1231</v>
      </c>
      <c r="H415" s="180" t="s">
        <v>376</v>
      </c>
      <c r="I415" s="180"/>
      <c r="J415" s="180"/>
      <c r="K415" s="180"/>
      <c r="L415" s="180"/>
      <c r="M415" s="180"/>
      <c r="N415" s="180"/>
      <c r="O415" s="180"/>
    </row>
    <row r="416" spans="1:15" ht="16" x14ac:dyDescent="0.2">
      <c r="A416" s="180" t="s">
        <v>333</v>
      </c>
      <c r="B416" s="180">
        <v>498</v>
      </c>
      <c r="C416" s="180" t="s">
        <v>1232</v>
      </c>
      <c r="D416" s="180" t="s">
        <v>378</v>
      </c>
      <c r="E416" s="180">
        <v>1</v>
      </c>
      <c r="F416" s="180"/>
      <c r="G416" s="180" t="s">
        <v>1233</v>
      </c>
      <c r="H416" s="180" t="s">
        <v>376</v>
      </c>
      <c r="I416" s="180"/>
      <c r="J416" s="180"/>
      <c r="K416" s="180"/>
      <c r="L416" s="180"/>
      <c r="M416" s="180"/>
      <c r="N416" s="180"/>
      <c r="O416" s="180"/>
    </row>
    <row r="417" spans="1:15" ht="16" x14ac:dyDescent="0.2">
      <c r="A417" s="180" t="s">
        <v>333</v>
      </c>
      <c r="B417" s="180">
        <v>499</v>
      </c>
      <c r="C417" s="180" t="s">
        <v>1234</v>
      </c>
      <c r="D417" s="180" t="s">
        <v>364</v>
      </c>
      <c r="E417" s="180">
        <v>1</v>
      </c>
      <c r="F417" s="180"/>
      <c r="G417" s="180" t="s">
        <v>1235</v>
      </c>
      <c r="H417" s="180" t="s">
        <v>376</v>
      </c>
      <c r="I417" s="180" t="s">
        <v>1873</v>
      </c>
      <c r="J417" s="180"/>
      <c r="K417" s="180"/>
      <c r="L417" s="180"/>
      <c r="M417" s="180"/>
      <c r="N417" s="180"/>
      <c r="O417" s="180"/>
    </row>
    <row r="418" spans="1:15" ht="16" x14ac:dyDescent="0.2">
      <c r="A418" s="180" t="s">
        <v>333</v>
      </c>
      <c r="B418" s="180">
        <v>501</v>
      </c>
      <c r="C418" s="180" t="s">
        <v>1129</v>
      </c>
      <c r="D418" s="180" t="s">
        <v>1130</v>
      </c>
      <c r="E418" s="180">
        <v>5</v>
      </c>
      <c r="F418" s="186">
        <f>Tables12!$C$5</f>
        <v>-4.9569402718106392E-2</v>
      </c>
      <c r="G418" s="180" t="s">
        <v>1236</v>
      </c>
      <c r="H418" s="180" t="s">
        <v>376</v>
      </c>
      <c r="I418" s="180"/>
      <c r="J418" s="180"/>
      <c r="K418" s="180"/>
      <c r="L418" s="180"/>
      <c r="M418" s="180"/>
      <c r="N418" s="180"/>
      <c r="O418" s="180"/>
    </row>
    <row r="419" spans="1:15" ht="16" x14ac:dyDescent="0.2">
      <c r="A419" s="180" t="s">
        <v>333</v>
      </c>
      <c r="B419" s="180">
        <v>502</v>
      </c>
      <c r="C419" s="180" t="s">
        <v>1237</v>
      </c>
      <c r="D419" s="180" t="s">
        <v>1238</v>
      </c>
      <c r="E419" s="180">
        <v>0.5</v>
      </c>
      <c r="F419" s="186">
        <f>F418/E420</f>
        <v>-4.9569402718106391E-3</v>
      </c>
      <c r="G419" s="180" t="s">
        <v>1239</v>
      </c>
      <c r="H419" s="180" t="s">
        <v>376</v>
      </c>
      <c r="I419" s="180"/>
      <c r="J419" s="180"/>
      <c r="K419" s="180"/>
      <c r="L419" s="180"/>
      <c r="M419" s="180"/>
      <c r="N419" s="180"/>
      <c r="O419" s="180"/>
    </row>
    <row r="420" spans="1:15" ht="16" x14ac:dyDescent="0.2">
      <c r="A420" s="180" t="s">
        <v>333</v>
      </c>
      <c r="B420" s="180">
        <v>503</v>
      </c>
      <c r="C420" s="180" t="s">
        <v>1240</v>
      </c>
      <c r="D420" s="180" t="s">
        <v>407</v>
      </c>
      <c r="E420" s="180">
        <v>10</v>
      </c>
      <c r="F420" s="180"/>
      <c r="G420" s="180" t="s">
        <v>1241</v>
      </c>
      <c r="H420" s="180" t="s">
        <v>376</v>
      </c>
      <c r="I420" s="180"/>
      <c r="J420" s="180"/>
      <c r="K420" s="180"/>
      <c r="L420" s="180"/>
      <c r="M420" s="180"/>
      <c r="N420" s="180"/>
      <c r="O420" s="180"/>
    </row>
    <row r="421" spans="1:15" ht="16" x14ac:dyDescent="0.2">
      <c r="A421" s="180" t="s">
        <v>333</v>
      </c>
      <c r="B421" s="180">
        <v>504</v>
      </c>
      <c r="C421" s="180" t="s">
        <v>1242</v>
      </c>
      <c r="D421" s="180" t="s">
        <v>1243</v>
      </c>
      <c r="E421" s="180">
        <v>0.35</v>
      </c>
      <c r="F421" s="194">
        <f>Tables12!$C$6</f>
        <v>-3.511166025865875E-3</v>
      </c>
      <c r="G421" s="180" t="s">
        <v>1244</v>
      </c>
      <c r="H421" s="180" t="s">
        <v>376</v>
      </c>
      <c r="I421" s="180"/>
      <c r="J421" s="180"/>
      <c r="K421" s="180"/>
      <c r="L421" s="180"/>
      <c r="M421" s="180"/>
      <c r="N421" s="180"/>
      <c r="O421" s="180"/>
    </row>
    <row r="422" spans="1:15" ht="16" x14ac:dyDescent="0.2">
      <c r="A422" s="180" t="s">
        <v>333</v>
      </c>
      <c r="B422" s="180">
        <v>505</v>
      </c>
      <c r="C422" s="180" t="s">
        <v>1245</v>
      </c>
      <c r="D422" s="180" t="s">
        <v>1243</v>
      </c>
      <c r="E422" s="180">
        <v>0.35</v>
      </c>
      <c r="F422" s="194">
        <f>F419*PartD!$B$18</f>
        <v>-3.5111660258658694E-3</v>
      </c>
      <c r="G422" s="180" t="s">
        <v>1246</v>
      </c>
      <c r="H422" s="180" t="s">
        <v>376</v>
      </c>
      <c r="I422" s="180"/>
      <c r="J422" s="180"/>
      <c r="K422" s="180"/>
      <c r="L422" s="180"/>
      <c r="M422" s="180"/>
      <c r="N422" s="180"/>
      <c r="O422" s="180"/>
    </row>
    <row r="423" spans="1:15" ht="16" x14ac:dyDescent="0.2">
      <c r="A423" s="180" t="s">
        <v>333</v>
      </c>
      <c r="B423" s="180">
        <v>506</v>
      </c>
      <c r="C423" s="180" t="s">
        <v>1247</v>
      </c>
      <c r="D423" s="180" t="s">
        <v>1238</v>
      </c>
      <c r="E423" s="180">
        <v>0.5</v>
      </c>
      <c r="F423" s="180"/>
      <c r="G423" s="180" t="s">
        <v>1248</v>
      </c>
      <c r="H423" s="180" t="s">
        <v>376</v>
      </c>
      <c r="I423" s="180"/>
      <c r="J423" s="180"/>
      <c r="K423" s="180"/>
      <c r="L423" s="180"/>
      <c r="M423" s="180"/>
      <c r="N423" s="180"/>
      <c r="O423" s="180"/>
    </row>
    <row r="424" spans="1:15" ht="16" x14ac:dyDescent="0.2">
      <c r="A424" s="180" t="s">
        <v>333</v>
      </c>
      <c r="B424" s="180">
        <v>507</v>
      </c>
      <c r="C424" s="180" t="s">
        <v>1249</v>
      </c>
      <c r="D424" s="180" t="s">
        <v>375</v>
      </c>
      <c r="E424" s="180">
        <v>1</v>
      </c>
      <c r="F424" s="180"/>
      <c r="G424" s="180"/>
      <c r="H424" s="180" t="s">
        <v>376</v>
      </c>
      <c r="I424" s="180"/>
      <c r="J424" s="180"/>
      <c r="K424" s="180"/>
      <c r="L424" s="180"/>
      <c r="M424" s="180"/>
      <c r="N424" s="180"/>
      <c r="O424" s="180"/>
    </row>
    <row r="425" spans="1:15" ht="16" x14ac:dyDescent="0.2">
      <c r="A425" s="180" t="s">
        <v>451</v>
      </c>
      <c r="B425" s="180">
        <v>509</v>
      </c>
      <c r="C425" s="180" t="s">
        <v>1250</v>
      </c>
      <c r="D425" s="180" t="s">
        <v>378</v>
      </c>
      <c r="E425" s="180">
        <v>1</v>
      </c>
      <c r="F425" s="180"/>
      <c r="G425" s="180" t="s">
        <v>1251</v>
      </c>
      <c r="H425" s="180" t="s">
        <v>376</v>
      </c>
      <c r="I425" s="180"/>
      <c r="J425" s="180"/>
      <c r="K425" s="180"/>
      <c r="L425" s="180"/>
      <c r="M425" s="180"/>
      <c r="N425" s="180"/>
      <c r="O425" s="180"/>
    </row>
    <row r="426" spans="1:15" ht="16" x14ac:dyDescent="0.2">
      <c r="A426" s="180" t="s">
        <v>333</v>
      </c>
      <c r="B426" s="180">
        <v>510</v>
      </c>
      <c r="C426" s="180" t="s">
        <v>1252</v>
      </c>
      <c r="D426" s="180" t="s">
        <v>347</v>
      </c>
      <c r="E426" s="180">
        <v>2</v>
      </c>
      <c r="F426" s="180"/>
      <c r="G426" s="180" t="s">
        <v>1253</v>
      </c>
      <c r="H426" s="180" t="s">
        <v>376</v>
      </c>
      <c r="I426" s="180"/>
      <c r="J426" s="180"/>
      <c r="K426" s="180"/>
      <c r="L426" s="180"/>
      <c r="M426" s="180"/>
      <c r="N426" s="180"/>
      <c r="O426" s="180"/>
    </row>
    <row r="427" spans="1:15" ht="16" x14ac:dyDescent="0.2">
      <c r="A427" s="180" t="s">
        <v>451</v>
      </c>
      <c r="B427" s="180">
        <v>511</v>
      </c>
      <c r="C427" s="180" t="s">
        <v>1254</v>
      </c>
      <c r="D427" s="180" t="s">
        <v>342</v>
      </c>
      <c r="E427" s="180">
        <v>2</v>
      </c>
      <c r="F427" s="180"/>
      <c r="G427" s="180" t="s">
        <v>1255</v>
      </c>
      <c r="H427" s="180" t="s">
        <v>376</v>
      </c>
      <c r="I427" s="180"/>
      <c r="J427" s="180"/>
      <c r="K427" s="180"/>
      <c r="L427" s="180"/>
      <c r="M427" s="180"/>
      <c r="N427" s="180"/>
      <c r="O427" s="180"/>
    </row>
    <row r="428" spans="1:15" ht="16" x14ac:dyDescent="0.2">
      <c r="A428" s="180" t="s">
        <v>451</v>
      </c>
      <c r="B428" s="180">
        <v>512</v>
      </c>
      <c r="C428" s="180" t="s">
        <v>1256</v>
      </c>
      <c r="D428" s="180" t="s">
        <v>378</v>
      </c>
      <c r="E428" s="180">
        <v>1</v>
      </c>
      <c r="F428" s="180"/>
      <c r="G428" s="180" t="s">
        <v>1257</v>
      </c>
      <c r="H428" s="180" t="s">
        <v>376</v>
      </c>
      <c r="I428" s="180"/>
      <c r="J428" s="180"/>
      <c r="K428" s="180"/>
      <c r="L428" s="180"/>
      <c r="M428" s="180"/>
      <c r="N428" s="180"/>
      <c r="O428" s="180"/>
    </row>
    <row r="429" spans="1:15" ht="16" x14ac:dyDescent="0.2">
      <c r="A429" s="180" t="s">
        <v>333</v>
      </c>
      <c r="B429" s="180">
        <v>515</v>
      </c>
      <c r="C429" s="180" t="s">
        <v>1258</v>
      </c>
      <c r="D429" s="180" t="s">
        <v>1130</v>
      </c>
      <c r="E429" s="180">
        <v>5</v>
      </c>
      <c r="F429" s="183">
        <f>-Tables12!C5</f>
        <v>4.9569402718106392E-2</v>
      </c>
      <c r="G429" s="180" t="s">
        <v>1259</v>
      </c>
      <c r="H429" s="180" t="s">
        <v>376</v>
      </c>
      <c r="I429" s="180"/>
      <c r="J429" s="180"/>
      <c r="K429" s="180"/>
      <c r="L429" s="180"/>
      <c r="M429" s="180"/>
      <c r="N429" s="180"/>
      <c r="O429" s="180"/>
    </row>
    <row r="430" spans="1:15" ht="16" x14ac:dyDescent="0.2">
      <c r="A430" s="180" t="s">
        <v>333</v>
      </c>
      <c r="B430" s="180">
        <v>516</v>
      </c>
      <c r="C430" s="180" t="s">
        <v>1260</v>
      </c>
      <c r="D430" s="180" t="s">
        <v>1130</v>
      </c>
      <c r="E430" s="180">
        <v>5</v>
      </c>
      <c r="F430" s="180">
        <f>E429</f>
        <v>5</v>
      </c>
      <c r="G430" s="180" t="s">
        <v>339</v>
      </c>
      <c r="H430" s="180" t="s">
        <v>376</v>
      </c>
      <c r="I430" s="180"/>
      <c r="J430" s="180"/>
      <c r="K430" s="180"/>
      <c r="L430" s="180"/>
      <c r="M430" s="180"/>
      <c r="N430" s="180"/>
      <c r="O430" s="180"/>
    </row>
    <row r="431" spans="1:15" ht="16" x14ac:dyDescent="0.2">
      <c r="A431" s="180" t="s">
        <v>333</v>
      </c>
      <c r="B431" s="180">
        <v>517</v>
      </c>
      <c r="C431" s="180" t="s">
        <v>1261</v>
      </c>
      <c r="D431" s="180" t="s">
        <v>1262</v>
      </c>
      <c r="E431" s="180">
        <v>2.33</v>
      </c>
      <c r="F431" s="192">
        <f>1/0.3-1</f>
        <v>2.3333333333333335</v>
      </c>
      <c r="G431" s="180" t="s">
        <v>1263</v>
      </c>
      <c r="H431" s="180" t="s">
        <v>376</v>
      </c>
      <c r="I431" s="180"/>
      <c r="J431" s="180"/>
      <c r="K431" s="180"/>
      <c r="L431" s="180"/>
      <c r="M431" s="180"/>
      <c r="N431" s="180"/>
      <c r="O431" s="180"/>
    </row>
    <row r="432" spans="1:15" ht="16" x14ac:dyDescent="0.2">
      <c r="A432" s="180" t="s">
        <v>333</v>
      </c>
      <c r="B432" s="180">
        <v>520</v>
      </c>
      <c r="C432" s="180" t="s">
        <v>1264</v>
      </c>
      <c r="D432" s="180" t="s">
        <v>1208</v>
      </c>
      <c r="E432" s="180">
        <v>11.6</v>
      </c>
      <c r="F432" s="186">
        <f>F429*F431</f>
        <v>0.1156619396755816</v>
      </c>
      <c r="G432" s="180" t="s">
        <v>1265</v>
      </c>
      <c r="H432" s="180" t="s">
        <v>376</v>
      </c>
      <c r="I432" s="180"/>
      <c r="J432" s="180"/>
      <c r="K432" s="180"/>
      <c r="L432" s="180"/>
      <c r="M432" s="180"/>
      <c r="N432" s="180"/>
      <c r="O432" s="180"/>
    </row>
    <row r="433" spans="1:15" ht="16" x14ac:dyDescent="0.2">
      <c r="A433" s="180" t="s">
        <v>333</v>
      </c>
      <c r="B433" s="180">
        <v>521</v>
      </c>
      <c r="C433" s="180" t="s">
        <v>1266</v>
      </c>
      <c r="D433" s="180" t="s">
        <v>1130</v>
      </c>
      <c r="E433" s="180">
        <v>5</v>
      </c>
      <c r="F433" s="180">
        <f>E430</f>
        <v>5</v>
      </c>
      <c r="G433" s="180" t="s">
        <v>1267</v>
      </c>
      <c r="H433" s="180" t="s">
        <v>376</v>
      </c>
      <c r="I433" s="180"/>
      <c r="J433" s="180"/>
      <c r="K433" s="180"/>
      <c r="L433" s="180"/>
      <c r="M433" s="180"/>
      <c r="N433" s="180"/>
      <c r="O433" s="180"/>
    </row>
    <row r="434" spans="1:15" ht="16" x14ac:dyDescent="0.2">
      <c r="A434" s="180" t="s">
        <v>333</v>
      </c>
      <c r="B434" s="180">
        <v>522</v>
      </c>
      <c r="C434" s="180" t="s">
        <v>1268</v>
      </c>
      <c r="D434" s="180" t="s">
        <v>1262</v>
      </c>
      <c r="E434" s="180">
        <v>2.33</v>
      </c>
      <c r="F434" s="180">
        <f>E431</f>
        <v>2.33</v>
      </c>
      <c r="G434" s="180" t="s">
        <v>1269</v>
      </c>
      <c r="H434" s="180" t="s">
        <v>376</v>
      </c>
      <c r="I434" s="180"/>
      <c r="J434" s="180"/>
      <c r="K434" s="180"/>
      <c r="L434" s="180"/>
      <c r="M434" s="180"/>
      <c r="N434" s="180"/>
      <c r="O434" s="180"/>
    </row>
    <row r="435" spans="1:15" ht="16" x14ac:dyDescent="0.2">
      <c r="A435" s="180" t="s">
        <v>451</v>
      </c>
      <c r="B435" s="180">
        <v>523</v>
      </c>
      <c r="C435" s="180" t="s">
        <v>1270</v>
      </c>
      <c r="D435" s="180" t="s">
        <v>525</v>
      </c>
      <c r="E435" s="180">
        <v>2</v>
      </c>
      <c r="F435" s="180"/>
      <c r="G435" s="180"/>
      <c r="H435" s="180" t="s">
        <v>376</v>
      </c>
      <c r="I435" s="180"/>
      <c r="J435" s="180"/>
      <c r="K435" s="180"/>
      <c r="L435" s="180"/>
      <c r="M435" s="180"/>
      <c r="N435" s="180"/>
      <c r="O435" s="180"/>
    </row>
    <row r="436" spans="1:15" ht="16" x14ac:dyDescent="0.2">
      <c r="A436" s="180" t="s">
        <v>451</v>
      </c>
      <c r="B436" s="180">
        <v>524</v>
      </c>
      <c r="C436" s="180" t="s">
        <v>1271</v>
      </c>
      <c r="D436" s="180" t="s">
        <v>342</v>
      </c>
      <c r="E436" s="180">
        <v>2</v>
      </c>
      <c r="F436" s="180"/>
      <c r="G436" s="180" t="s">
        <v>1272</v>
      </c>
      <c r="H436" s="180" t="s">
        <v>376</v>
      </c>
      <c r="I436" s="180"/>
      <c r="J436" s="180"/>
      <c r="K436" s="180"/>
      <c r="L436" s="180"/>
      <c r="M436" s="180"/>
      <c r="N436" s="180"/>
      <c r="O436" s="180"/>
    </row>
    <row r="437" spans="1:15" ht="16" x14ac:dyDescent="0.2">
      <c r="A437" s="180" t="s">
        <v>333</v>
      </c>
      <c r="B437" s="180">
        <v>525</v>
      </c>
      <c r="C437" s="180" t="s">
        <v>1273</v>
      </c>
      <c r="D437" s="180" t="s">
        <v>344</v>
      </c>
      <c r="E437" s="180"/>
      <c r="F437" s="180"/>
      <c r="G437" s="180" t="s">
        <v>1274</v>
      </c>
      <c r="H437" s="180" t="s">
        <v>376</v>
      </c>
      <c r="I437" s="180"/>
      <c r="J437" s="180"/>
      <c r="K437" s="180"/>
      <c r="L437" s="180"/>
      <c r="M437" s="180"/>
      <c r="N437" s="180"/>
      <c r="O437" s="180"/>
    </row>
    <row r="438" spans="1:15" ht="16" x14ac:dyDescent="0.2">
      <c r="A438" s="180" t="s">
        <v>333</v>
      </c>
      <c r="B438" s="180">
        <v>526</v>
      </c>
      <c r="C438" s="180" t="s">
        <v>546</v>
      </c>
      <c r="D438" s="180" t="s">
        <v>993</v>
      </c>
      <c r="E438" s="180">
        <v>4</v>
      </c>
      <c r="F438" s="180"/>
      <c r="G438" s="180" t="s">
        <v>1275</v>
      </c>
      <c r="H438" s="180" t="s">
        <v>376</v>
      </c>
      <c r="I438" s="180"/>
      <c r="J438" s="180"/>
      <c r="K438" s="180"/>
      <c r="L438" s="180"/>
      <c r="M438" s="180"/>
      <c r="N438" s="180"/>
      <c r="O438" s="180"/>
    </row>
    <row r="439" spans="1:15" ht="16" x14ac:dyDescent="0.2">
      <c r="A439" s="180" t="s">
        <v>333</v>
      </c>
      <c r="B439" s="180">
        <v>527</v>
      </c>
      <c r="C439" s="180" t="s">
        <v>1258</v>
      </c>
      <c r="D439" s="180" t="s">
        <v>1130</v>
      </c>
      <c r="E439" s="180">
        <v>5</v>
      </c>
      <c r="F439" s="180">
        <f>E430</f>
        <v>5</v>
      </c>
      <c r="G439" s="180" t="s">
        <v>1276</v>
      </c>
      <c r="H439" s="180" t="s">
        <v>376</v>
      </c>
      <c r="I439" s="180"/>
      <c r="J439" s="180"/>
      <c r="K439" s="180"/>
      <c r="L439" s="180"/>
      <c r="M439" s="180"/>
      <c r="N439" s="180"/>
      <c r="O439" s="180"/>
    </row>
    <row r="440" spans="1:15" ht="16" x14ac:dyDescent="0.2">
      <c r="A440" s="180" t="s">
        <v>333</v>
      </c>
      <c r="B440" s="180">
        <v>528</v>
      </c>
      <c r="C440" s="180" t="s">
        <v>1277</v>
      </c>
      <c r="D440" s="180" t="s">
        <v>1208</v>
      </c>
      <c r="E440" s="180">
        <v>11.6</v>
      </c>
      <c r="F440" s="180">
        <f>E432</f>
        <v>11.6</v>
      </c>
      <c r="G440" s="180" t="s">
        <v>1278</v>
      </c>
      <c r="H440" s="180" t="s">
        <v>376</v>
      </c>
      <c r="I440" s="180"/>
      <c r="J440" s="180"/>
      <c r="K440" s="180"/>
      <c r="L440" s="180"/>
      <c r="M440" s="180"/>
      <c r="N440" s="180"/>
      <c r="O440" s="180"/>
    </row>
    <row r="441" spans="1:15" ht="16" x14ac:dyDescent="0.2">
      <c r="A441" s="180" t="s">
        <v>333</v>
      </c>
      <c r="B441" s="180">
        <v>529</v>
      </c>
      <c r="C441" s="180" t="s">
        <v>1279</v>
      </c>
      <c r="D441" s="181" t="s">
        <v>1887</v>
      </c>
      <c r="E441" s="180">
        <v>6.6</v>
      </c>
      <c r="F441" s="180">
        <f>F440-F439</f>
        <v>6.6</v>
      </c>
      <c r="G441" s="180" t="s">
        <v>1280</v>
      </c>
      <c r="H441" s="180" t="s">
        <v>376</v>
      </c>
      <c r="I441" s="186">
        <f>(1-0.01*F439)*(1+0.01*F440)-1</f>
        <v>6.0200000000000031E-2</v>
      </c>
      <c r="J441" s="180"/>
      <c r="K441" s="180"/>
      <c r="L441" s="180"/>
      <c r="M441" s="180"/>
      <c r="N441" s="180"/>
      <c r="O441" s="180"/>
    </row>
    <row r="442" spans="1:15" ht="16" x14ac:dyDescent="0.2">
      <c r="A442" s="180" t="s">
        <v>451</v>
      </c>
      <c r="B442" s="180">
        <v>531</v>
      </c>
      <c r="C442" s="180" t="s">
        <v>1281</v>
      </c>
      <c r="D442" s="180" t="s">
        <v>342</v>
      </c>
      <c r="E442" s="180">
        <v>2</v>
      </c>
      <c r="F442" s="180"/>
      <c r="G442" s="180" t="s">
        <v>1282</v>
      </c>
      <c r="H442" s="180" t="s">
        <v>376</v>
      </c>
      <c r="I442" s="180"/>
      <c r="J442" s="180"/>
      <c r="K442" s="180"/>
      <c r="L442" s="180"/>
      <c r="M442" s="180"/>
      <c r="N442" s="180"/>
      <c r="O442" s="180"/>
    </row>
    <row r="443" spans="1:15" ht="16" x14ac:dyDescent="0.2">
      <c r="A443" s="180" t="s">
        <v>333</v>
      </c>
      <c r="B443" s="180">
        <v>532</v>
      </c>
      <c r="C443" s="180" t="s">
        <v>1283</v>
      </c>
      <c r="D443" s="180" t="s">
        <v>541</v>
      </c>
      <c r="E443" s="180">
        <v>6</v>
      </c>
      <c r="F443" s="180"/>
      <c r="G443" s="180" t="s">
        <v>1284</v>
      </c>
      <c r="H443" s="180" t="s">
        <v>376</v>
      </c>
      <c r="I443" s="180"/>
      <c r="J443" s="180"/>
      <c r="K443" s="180"/>
      <c r="L443" s="180"/>
      <c r="M443" s="180"/>
      <c r="N443" s="180"/>
      <c r="O443" s="180"/>
    </row>
    <row r="444" spans="1:15" ht="16" x14ac:dyDescent="0.2">
      <c r="A444" s="180" t="s">
        <v>333</v>
      </c>
      <c r="B444" s="180">
        <v>533</v>
      </c>
      <c r="C444" s="180" t="s">
        <v>1285</v>
      </c>
      <c r="D444" s="180" t="s">
        <v>544</v>
      </c>
      <c r="E444" s="180">
        <v>7</v>
      </c>
      <c r="F444" s="180"/>
      <c r="G444" s="180" t="s">
        <v>1286</v>
      </c>
      <c r="H444" s="180" t="s">
        <v>376</v>
      </c>
      <c r="I444" s="180"/>
      <c r="J444" s="180"/>
      <c r="K444" s="180"/>
      <c r="L444" s="180"/>
      <c r="M444" s="180"/>
      <c r="N444" s="180"/>
      <c r="O444" s="180"/>
    </row>
    <row r="445" spans="1:15" ht="16" x14ac:dyDescent="0.2">
      <c r="A445" s="180" t="s">
        <v>451</v>
      </c>
      <c r="B445" s="180">
        <v>534</v>
      </c>
      <c r="C445" s="180" t="s">
        <v>1287</v>
      </c>
      <c r="D445" s="180" t="s">
        <v>342</v>
      </c>
      <c r="E445" s="180">
        <v>2</v>
      </c>
      <c r="F445" s="180"/>
      <c r="G445" s="180" t="s">
        <v>1889</v>
      </c>
      <c r="H445" s="180" t="s">
        <v>376</v>
      </c>
      <c r="I445" s="180"/>
      <c r="J445" s="180"/>
      <c r="K445" s="180"/>
      <c r="L445" s="180"/>
      <c r="M445" s="180"/>
      <c r="N445" s="180"/>
      <c r="O445" s="180"/>
    </row>
    <row r="446" spans="1:15" ht="16" x14ac:dyDescent="0.2">
      <c r="A446" s="180" t="s">
        <v>333</v>
      </c>
      <c r="B446" s="180">
        <v>535</v>
      </c>
      <c r="C446" s="180" t="s">
        <v>1288</v>
      </c>
      <c r="D446" s="181" t="s">
        <v>1888</v>
      </c>
      <c r="E446" s="180">
        <v>5</v>
      </c>
      <c r="F446" s="180"/>
      <c r="G446" s="180" t="s">
        <v>1289</v>
      </c>
      <c r="H446" s="180" t="s">
        <v>376</v>
      </c>
      <c r="I446" s="180"/>
      <c r="J446" s="180"/>
      <c r="K446" s="180"/>
      <c r="L446" s="180"/>
      <c r="M446" s="180"/>
      <c r="N446" s="180"/>
      <c r="O446" s="180"/>
    </row>
    <row r="447" spans="1:15" ht="16" x14ac:dyDescent="0.2">
      <c r="A447" s="180" t="s">
        <v>451</v>
      </c>
      <c r="B447" s="180">
        <v>536</v>
      </c>
      <c r="C447" s="180" t="s">
        <v>1890</v>
      </c>
      <c r="D447" s="180" t="s">
        <v>378</v>
      </c>
      <c r="E447" s="180">
        <v>1</v>
      </c>
      <c r="F447" s="180"/>
      <c r="G447" s="180" t="s">
        <v>1290</v>
      </c>
      <c r="H447" s="180" t="s">
        <v>376</v>
      </c>
      <c r="I447" s="180"/>
      <c r="J447" s="180"/>
      <c r="K447" s="180"/>
      <c r="L447" s="180"/>
      <c r="M447" s="180"/>
      <c r="N447" s="180"/>
      <c r="O447" s="180"/>
    </row>
    <row r="448" spans="1:15" ht="16" x14ac:dyDescent="0.2">
      <c r="A448" s="180" t="s">
        <v>333</v>
      </c>
      <c r="B448" s="180">
        <v>537</v>
      </c>
      <c r="C448" s="180" t="s">
        <v>1291</v>
      </c>
      <c r="D448" s="180" t="s">
        <v>544</v>
      </c>
      <c r="E448" s="180">
        <v>7</v>
      </c>
      <c r="F448" s="180"/>
      <c r="G448" s="180" t="s">
        <v>1292</v>
      </c>
      <c r="H448" s="180" t="s">
        <v>376</v>
      </c>
      <c r="I448" s="180"/>
      <c r="J448" s="180"/>
      <c r="K448" s="180"/>
      <c r="L448" s="180"/>
      <c r="M448" s="180"/>
      <c r="N448" s="180"/>
      <c r="O448" s="180"/>
    </row>
    <row r="449" spans="1:15" ht="16" x14ac:dyDescent="0.2">
      <c r="A449" s="180" t="s">
        <v>451</v>
      </c>
      <c r="B449" s="180">
        <v>538</v>
      </c>
      <c r="C449" s="180" t="s">
        <v>1293</v>
      </c>
      <c r="D449" s="180" t="s">
        <v>342</v>
      </c>
      <c r="E449" s="180">
        <v>2</v>
      </c>
      <c r="F449" s="180"/>
      <c r="G449" s="180" t="s">
        <v>1294</v>
      </c>
      <c r="H449" s="180" t="s">
        <v>376</v>
      </c>
      <c r="I449" s="180"/>
      <c r="J449" s="180"/>
      <c r="K449" s="180"/>
      <c r="L449" s="180"/>
      <c r="M449" s="180"/>
      <c r="N449" s="180"/>
      <c r="O449" s="180"/>
    </row>
    <row r="450" spans="1:15" ht="16" x14ac:dyDescent="0.2">
      <c r="A450" s="180" t="s">
        <v>451</v>
      </c>
      <c r="B450" s="180">
        <v>539</v>
      </c>
      <c r="C450" s="180" t="s">
        <v>1295</v>
      </c>
      <c r="D450" s="180" t="s">
        <v>378</v>
      </c>
      <c r="E450" s="180">
        <v>1</v>
      </c>
      <c r="F450" s="180"/>
      <c r="G450" s="180" t="s">
        <v>1296</v>
      </c>
      <c r="H450" s="180" t="s">
        <v>376</v>
      </c>
      <c r="I450" s="180"/>
      <c r="J450" s="180"/>
      <c r="K450" s="180"/>
      <c r="L450" s="180"/>
      <c r="M450" s="180"/>
      <c r="N450" s="180"/>
      <c r="O450" s="180"/>
    </row>
    <row r="451" spans="1:15" ht="16" x14ac:dyDescent="0.2">
      <c r="A451" s="180" t="s">
        <v>451</v>
      </c>
      <c r="B451" s="180">
        <v>540</v>
      </c>
      <c r="C451" s="180" t="s">
        <v>1297</v>
      </c>
      <c r="D451" s="180" t="s">
        <v>342</v>
      </c>
      <c r="E451" s="180">
        <v>2</v>
      </c>
      <c r="F451" s="180"/>
      <c r="G451" s="180" t="s">
        <v>1298</v>
      </c>
      <c r="H451" s="180" t="s">
        <v>376</v>
      </c>
      <c r="I451" s="180"/>
      <c r="J451" s="180"/>
      <c r="K451" s="180"/>
      <c r="L451" s="180"/>
      <c r="M451" s="180"/>
      <c r="N451" s="180"/>
      <c r="O451" s="180"/>
    </row>
    <row r="452" spans="1:15" ht="16" x14ac:dyDescent="0.2">
      <c r="A452" s="180" t="s">
        <v>333</v>
      </c>
      <c r="B452" s="180">
        <v>541</v>
      </c>
      <c r="C452" s="180" t="s">
        <v>1299</v>
      </c>
      <c r="D452" s="180" t="s">
        <v>1300</v>
      </c>
      <c r="E452" s="180">
        <v>74.5</v>
      </c>
      <c r="F452" s="186">
        <f>BenefitParams!$B$6</f>
        <v>0.745</v>
      </c>
      <c r="G452" s="180" t="s">
        <v>1301</v>
      </c>
      <c r="H452" s="180" t="s">
        <v>376</v>
      </c>
      <c r="I452" s="180"/>
      <c r="J452" s="180"/>
      <c r="K452" s="180"/>
      <c r="L452" s="180"/>
      <c r="M452" s="180"/>
      <c r="N452" s="180"/>
      <c r="O452" s="180"/>
    </row>
    <row r="453" spans="1:15" ht="16" x14ac:dyDescent="0.2">
      <c r="A453" s="180" t="s">
        <v>333</v>
      </c>
      <c r="B453" s="180">
        <v>542</v>
      </c>
      <c r="C453" s="180" t="s">
        <v>1302</v>
      </c>
      <c r="D453" s="180" t="s">
        <v>1303</v>
      </c>
      <c r="E453" s="180">
        <v>83</v>
      </c>
      <c r="F453" s="183">
        <f>BenefitParams!$D$6</f>
        <v>0.82953256910633788</v>
      </c>
      <c r="G453" s="180" t="s">
        <v>1304</v>
      </c>
      <c r="H453" s="180" t="s">
        <v>376</v>
      </c>
      <c r="I453" s="180"/>
      <c r="J453" s="180"/>
      <c r="K453" s="180"/>
      <c r="L453" s="180"/>
      <c r="M453" s="180"/>
      <c r="N453" s="180"/>
      <c r="O453" s="180"/>
    </row>
    <row r="454" spans="1:15" ht="16" x14ac:dyDescent="0.2">
      <c r="A454" s="180" t="s">
        <v>333</v>
      </c>
      <c r="B454" s="180">
        <v>543</v>
      </c>
      <c r="C454" s="180" t="s">
        <v>1305</v>
      </c>
      <c r="D454" s="180" t="s">
        <v>859</v>
      </c>
      <c r="E454" s="180">
        <v>0.5</v>
      </c>
      <c r="F454" s="184">
        <f>BackgroundInfo2!$B$15</f>
        <v>0.5</v>
      </c>
      <c r="G454" s="180" t="s">
        <v>389</v>
      </c>
      <c r="H454" s="180" t="s">
        <v>376</v>
      </c>
      <c r="I454" s="180"/>
      <c r="J454" s="180"/>
      <c r="K454" s="180"/>
      <c r="L454" s="180"/>
      <c r="M454" s="180"/>
      <c r="N454" s="180"/>
      <c r="O454" s="180"/>
    </row>
    <row r="455" spans="1:15" ht="16" x14ac:dyDescent="0.2">
      <c r="A455" s="180" t="s">
        <v>333</v>
      </c>
      <c r="B455" s="180">
        <v>544</v>
      </c>
      <c r="C455" s="180" t="s">
        <v>1306</v>
      </c>
      <c r="D455" s="180" t="s">
        <v>1307</v>
      </c>
      <c r="E455" s="180">
        <v>1992</v>
      </c>
      <c r="F455" s="180"/>
      <c r="G455" s="180" t="s">
        <v>1308</v>
      </c>
      <c r="H455" s="180" t="s">
        <v>376</v>
      </c>
      <c r="I455" s="180"/>
      <c r="J455" s="180"/>
      <c r="K455" s="180"/>
      <c r="L455" s="180"/>
      <c r="M455" s="180"/>
      <c r="N455" s="180"/>
      <c r="O455" s="180"/>
    </row>
    <row r="456" spans="1:15" ht="16" x14ac:dyDescent="0.2">
      <c r="A456" s="180" t="s">
        <v>333</v>
      </c>
      <c r="B456" s="180">
        <v>545</v>
      </c>
      <c r="C456" s="180" t="s">
        <v>1309</v>
      </c>
      <c r="D456" s="180" t="s">
        <v>1310</v>
      </c>
      <c r="E456" s="180">
        <v>2003</v>
      </c>
      <c r="F456" s="180"/>
      <c r="G456" s="180" t="s">
        <v>1311</v>
      </c>
      <c r="H456" s="180" t="s">
        <v>376</v>
      </c>
      <c r="I456" s="180"/>
      <c r="J456" s="180"/>
      <c r="K456" s="180"/>
      <c r="L456" s="180"/>
      <c r="M456" s="180"/>
      <c r="N456" s="180"/>
      <c r="O456" s="180"/>
    </row>
    <row r="457" spans="1:15" ht="16" x14ac:dyDescent="0.2">
      <c r="A457" s="180" t="s">
        <v>451</v>
      </c>
      <c r="B457" s="180">
        <v>546</v>
      </c>
      <c r="C457" s="180" t="s">
        <v>467</v>
      </c>
      <c r="D457" s="180" t="s">
        <v>378</v>
      </c>
      <c r="E457" s="180">
        <v>1</v>
      </c>
      <c r="F457" s="180"/>
      <c r="G457" s="180" t="s">
        <v>1312</v>
      </c>
      <c r="H457" s="180" t="s">
        <v>376</v>
      </c>
      <c r="I457" s="180"/>
      <c r="J457" s="180"/>
      <c r="K457" s="180"/>
      <c r="L457" s="180"/>
      <c r="M457" s="180"/>
      <c r="N457" s="180"/>
      <c r="O457" s="180"/>
    </row>
    <row r="458" spans="1:15" ht="16" x14ac:dyDescent="0.2">
      <c r="A458" s="180" t="s">
        <v>333</v>
      </c>
      <c r="B458" s="180">
        <v>547</v>
      </c>
      <c r="C458" s="180" t="s">
        <v>1313</v>
      </c>
      <c r="D458" s="180" t="s">
        <v>859</v>
      </c>
      <c r="E458" s="180">
        <v>0.5</v>
      </c>
      <c r="F458" s="180">
        <f>E454</f>
        <v>0.5</v>
      </c>
      <c r="G458" s="180" t="s">
        <v>1314</v>
      </c>
      <c r="H458" s="180" t="s">
        <v>376</v>
      </c>
      <c r="I458" s="180"/>
      <c r="J458" s="180"/>
      <c r="K458" s="180"/>
      <c r="L458" s="180"/>
      <c r="M458" s="180"/>
      <c r="N458" s="180"/>
      <c r="O458" s="180"/>
    </row>
    <row r="459" spans="1:15" ht="16" x14ac:dyDescent="0.2">
      <c r="A459" s="180" t="s">
        <v>333</v>
      </c>
      <c r="B459" s="180">
        <v>548</v>
      </c>
      <c r="C459" s="180" t="s">
        <v>1315</v>
      </c>
      <c r="D459" s="180" t="s">
        <v>601</v>
      </c>
      <c r="E459" s="180">
        <v>2019</v>
      </c>
      <c r="F459" s="180"/>
      <c r="G459" s="180" t="s">
        <v>389</v>
      </c>
      <c r="H459" s="180" t="s">
        <v>376</v>
      </c>
      <c r="I459" s="180"/>
      <c r="J459" s="180"/>
      <c r="K459" s="180"/>
      <c r="L459" s="180"/>
      <c r="M459" s="180"/>
      <c r="N459" s="180"/>
      <c r="O459" s="180"/>
    </row>
    <row r="460" spans="1:15" ht="16" x14ac:dyDescent="0.2">
      <c r="A460" s="180" t="s">
        <v>451</v>
      </c>
      <c r="B460" s="180">
        <v>549</v>
      </c>
      <c r="C460" s="180" t="s">
        <v>1316</v>
      </c>
      <c r="D460" s="180" t="s">
        <v>378</v>
      </c>
      <c r="E460" s="180">
        <v>1</v>
      </c>
      <c r="F460" s="180"/>
      <c r="G460" s="180" t="s">
        <v>1317</v>
      </c>
      <c r="H460" s="180" t="s">
        <v>376</v>
      </c>
      <c r="I460" s="180"/>
      <c r="J460" s="180"/>
      <c r="K460" s="180"/>
      <c r="L460" s="180"/>
      <c r="M460" s="180"/>
      <c r="N460" s="180"/>
      <c r="O460" s="180"/>
    </row>
    <row r="461" spans="1:15" ht="16" x14ac:dyDescent="0.2">
      <c r="A461" s="180" t="s">
        <v>333</v>
      </c>
      <c r="B461" s="180">
        <v>550</v>
      </c>
      <c r="C461" s="180" t="s">
        <v>1318</v>
      </c>
      <c r="D461" s="180" t="s">
        <v>497</v>
      </c>
      <c r="E461" s="180">
        <v>3</v>
      </c>
      <c r="F461" s="180"/>
      <c r="G461" s="180" t="s">
        <v>1319</v>
      </c>
      <c r="H461" s="180" t="s">
        <v>376</v>
      </c>
      <c r="I461" s="180"/>
      <c r="J461" s="180"/>
      <c r="K461" s="180"/>
      <c r="L461" s="180"/>
      <c r="M461" s="180"/>
      <c r="N461" s="180"/>
      <c r="O461" s="180"/>
    </row>
    <row r="462" spans="1:15" ht="16" x14ac:dyDescent="0.2">
      <c r="A462" s="180" t="s">
        <v>1092</v>
      </c>
      <c r="B462" s="180">
        <v>551</v>
      </c>
      <c r="C462" s="180" t="s">
        <v>1320</v>
      </c>
      <c r="D462" s="180" t="s">
        <v>869</v>
      </c>
      <c r="E462" s="180">
        <v>6</v>
      </c>
      <c r="F462" s="180"/>
      <c r="G462" s="180" t="s">
        <v>1321</v>
      </c>
      <c r="H462" s="180" t="s">
        <v>376</v>
      </c>
      <c r="I462" s="180"/>
      <c r="J462" s="180"/>
      <c r="K462" s="180"/>
      <c r="L462" s="180"/>
      <c r="M462" s="180"/>
      <c r="N462" s="180"/>
      <c r="O462" s="180"/>
    </row>
    <row r="463" spans="1:15" ht="16" x14ac:dyDescent="0.2">
      <c r="A463" s="180" t="s">
        <v>333</v>
      </c>
      <c r="B463" s="180">
        <v>552</v>
      </c>
      <c r="C463" s="180" t="s">
        <v>1322</v>
      </c>
      <c r="D463" s="180" t="s">
        <v>1080</v>
      </c>
      <c r="E463" s="180">
        <v>7</v>
      </c>
      <c r="F463" s="180"/>
      <c r="G463" s="180" t="s">
        <v>1323</v>
      </c>
      <c r="H463" s="180" t="s">
        <v>376</v>
      </c>
      <c r="I463" s="180"/>
      <c r="J463" s="180"/>
      <c r="K463" s="180"/>
      <c r="L463" s="180"/>
      <c r="M463" s="180"/>
      <c r="N463" s="180"/>
      <c r="O463" s="180"/>
    </row>
    <row r="464" spans="1:15" ht="16" x14ac:dyDescent="0.2">
      <c r="A464" s="180" t="s">
        <v>333</v>
      </c>
      <c r="B464" s="180">
        <v>553</v>
      </c>
      <c r="C464" s="180" t="s">
        <v>1324</v>
      </c>
      <c r="D464" s="180" t="s">
        <v>370</v>
      </c>
      <c r="E464" s="180">
        <v>0</v>
      </c>
      <c r="F464" s="180"/>
      <c r="G464" s="180" t="s">
        <v>1875</v>
      </c>
      <c r="H464" s="180" t="s">
        <v>376</v>
      </c>
      <c r="I464" s="180"/>
      <c r="J464" s="180"/>
      <c r="K464" s="180"/>
      <c r="L464" s="180"/>
      <c r="M464" s="180"/>
      <c r="N464" s="180"/>
      <c r="O464" s="180"/>
    </row>
    <row r="465" spans="1:15" ht="16" x14ac:dyDescent="0.2">
      <c r="A465" s="180" t="s">
        <v>333</v>
      </c>
      <c r="B465" s="180">
        <v>554</v>
      </c>
      <c r="C465" s="180" t="s">
        <v>1325</v>
      </c>
      <c r="D465" s="180" t="s">
        <v>378</v>
      </c>
      <c r="E465" s="180">
        <v>1</v>
      </c>
      <c r="F465" s="180">
        <f>E285</f>
        <v>1</v>
      </c>
      <c r="G465" s="180" t="s">
        <v>1876</v>
      </c>
      <c r="H465" s="180" t="s">
        <v>376</v>
      </c>
      <c r="I465" s="180"/>
      <c r="J465" s="180"/>
      <c r="K465" s="180"/>
      <c r="L465" s="180"/>
      <c r="M465" s="180"/>
      <c r="N465" s="180"/>
      <c r="O465" s="180"/>
    </row>
    <row r="466" spans="1:15" ht="16" x14ac:dyDescent="0.2">
      <c r="A466" s="180" t="s">
        <v>333</v>
      </c>
      <c r="B466" s="180">
        <v>555</v>
      </c>
      <c r="C466" s="180" t="s">
        <v>1326</v>
      </c>
      <c r="D466" s="181" t="s">
        <v>697</v>
      </c>
      <c r="E466" s="180">
        <v>4</v>
      </c>
      <c r="F466" s="180">
        <f>E286</f>
        <v>4</v>
      </c>
      <c r="G466" s="180" t="s">
        <v>1877</v>
      </c>
      <c r="H466" s="180" t="s">
        <v>376</v>
      </c>
      <c r="I466" s="180"/>
      <c r="J466" s="180"/>
      <c r="K466" s="180"/>
      <c r="L466" s="180"/>
      <c r="M466" s="180"/>
      <c r="N466" s="180"/>
      <c r="O466" s="180"/>
    </row>
    <row r="467" spans="1:15" ht="16" x14ac:dyDescent="0.2">
      <c r="A467" s="180" t="s">
        <v>333</v>
      </c>
      <c r="B467" s="180">
        <v>556</v>
      </c>
      <c r="C467" s="180" t="s">
        <v>1878</v>
      </c>
      <c r="D467" s="181" t="s">
        <v>470</v>
      </c>
      <c r="E467" s="180">
        <v>5</v>
      </c>
      <c r="F467" s="180">
        <f>E287</f>
        <v>5</v>
      </c>
      <c r="G467" s="180" t="s">
        <v>1327</v>
      </c>
      <c r="H467" s="180" t="s">
        <v>376</v>
      </c>
      <c r="I467" s="180"/>
      <c r="J467" s="180"/>
      <c r="K467" s="180"/>
      <c r="L467" s="180"/>
      <c r="M467" s="180"/>
      <c r="N467" s="180"/>
      <c r="O467" s="180"/>
    </row>
    <row r="468" spans="1:15" ht="16" x14ac:dyDescent="0.2">
      <c r="A468" s="180" t="s">
        <v>333</v>
      </c>
      <c r="B468" s="180">
        <v>557</v>
      </c>
      <c r="C468" s="180" t="s">
        <v>1328</v>
      </c>
      <c r="D468" s="180" t="s">
        <v>1104</v>
      </c>
      <c r="E468" s="180">
        <v>12</v>
      </c>
      <c r="F468" s="180">
        <f>E288</f>
        <v>12</v>
      </c>
      <c r="G468" s="180" t="s">
        <v>389</v>
      </c>
      <c r="H468" s="180" t="s">
        <v>376</v>
      </c>
      <c r="I468" s="180"/>
      <c r="J468" s="180"/>
      <c r="K468" s="180"/>
      <c r="L468" s="180"/>
      <c r="M468" s="180"/>
      <c r="N468" s="180"/>
      <c r="O468" s="180"/>
    </row>
    <row r="469" spans="1:15" ht="16" x14ac:dyDescent="0.2">
      <c r="A469" s="180" t="s">
        <v>333</v>
      </c>
      <c r="B469" s="180">
        <v>558</v>
      </c>
      <c r="C469" s="180" t="s">
        <v>1329</v>
      </c>
      <c r="D469" s="180" t="s">
        <v>497</v>
      </c>
      <c r="E469" s="180">
        <v>3</v>
      </c>
      <c r="F469" s="180"/>
      <c r="G469" s="180" t="s">
        <v>1330</v>
      </c>
      <c r="H469" s="180" t="s">
        <v>376</v>
      </c>
      <c r="I469" s="180"/>
      <c r="J469" s="180" t="s">
        <v>1850</v>
      </c>
      <c r="K469" s="180"/>
      <c r="L469" s="180"/>
      <c r="M469" s="180"/>
      <c r="N469" s="180"/>
      <c r="O469" s="180"/>
    </row>
    <row r="470" spans="1:15" ht="16" x14ac:dyDescent="0.2">
      <c r="A470" s="180" t="s">
        <v>333</v>
      </c>
      <c r="B470" s="180">
        <v>559</v>
      </c>
      <c r="C470" s="180" t="s">
        <v>1331</v>
      </c>
      <c r="D470" s="180" t="s">
        <v>1332</v>
      </c>
      <c r="E470" s="180">
        <v>81</v>
      </c>
      <c r="F470" s="180"/>
      <c r="G470" s="180" t="s">
        <v>1333</v>
      </c>
      <c r="H470" s="180" t="s">
        <v>376</v>
      </c>
      <c r="I470" s="180"/>
      <c r="J470" s="180"/>
      <c r="K470" s="180"/>
      <c r="L470" s="180"/>
      <c r="M470" s="180"/>
      <c r="N470" s="180"/>
      <c r="O470" s="180"/>
    </row>
    <row r="471" spans="1:15" ht="16" x14ac:dyDescent="0.2">
      <c r="A471" s="180" t="s">
        <v>333</v>
      </c>
      <c r="B471" s="180">
        <v>560</v>
      </c>
      <c r="C471" s="180" t="s">
        <v>1334</v>
      </c>
      <c r="D471" s="180" t="s">
        <v>342</v>
      </c>
      <c r="E471" s="180">
        <v>2</v>
      </c>
      <c r="F471" s="180"/>
      <c r="G471" s="180" t="s">
        <v>389</v>
      </c>
      <c r="H471" s="180" t="s">
        <v>376</v>
      </c>
      <c r="I471" s="180"/>
      <c r="J471" s="180"/>
      <c r="K471" s="180"/>
      <c r="L471" s="180"/>
      <c r="M471" s="180"/>
      <c r="N471" s="180"/>
      <c r="O471" s="180"/>
    </row>
    <row r="472" spans="1:15" ht="16" x14ac:dyDescent="0.2">
      <c r="A472" s="180" t="s">
        <v>329</v>
      </c>
      <c r="B472" s="180">
        <v>561</v>
      </c>
      <c r="C472" s="180" t="s">
        <v>508</v>
      </c>
      <c r="D472" s="180" t="s">
        <v>378</v>
      </c>
      <c r="E472" s="180">
        <v>1</v>
      </c>
      <c r="F472" s="180"/>
      <c r="G472" s="180" t="s">
        <v>509</v>
      </c>
      <c r="H472" s="180" t="s">
        <v>376</v>
      </c>
      <c r="I472" s="180"/>
      <c r="J472" s="180"/>
      <c r="K472" s="180"/>
      <c r="L472" s="180"/>
      <c r="M472" s="180"/>
      <c r="N472" s="180"/>
      <c r="O472" s="180"/>
    </row>
    <row r="473" spans="1:15" ht="16" x14ac:dyDescent="0.2">
      <c r="A473" s="180" t="s">
        <v>329</v>
      </c>
      <c r="B473" s="180">
        <v>563</v>
      </c>
      <c r="C473" s="180" t="s">
        <v>512</v>
      </c>
      <c r="D473" s="180" t="s">
        <v>378</v>
      </c>
      <c r="E473" s="180">
        <v>1</v>
      </c>
      <c r="F473" s="180"/>
      <c r="G473" s="180" t="s">
        <v>513</v>
      </c>
      <c r="H473" s="180" t="s">
        <v>376</v>
      </c>
      <c r="I473" s="180"/>
      <c r="J473" s="180"/>
      <c r="K473" s="180"/>
      <c r="L473" s="180"/>
      <c r="M473" s="180"/>
      <c r="N473" s="180"/>
      <c r="O473" s="180"/>
    </row>
    <row r="474" spans="1:15" ht="16" x14ac:dyDescent="0.2">
      <c r="A474" s="180" t="s">
        <v>333</v>
      </c>
      <c r="B474" s="180">
        <v>564</v>
      </c>
      <c r="C474" s="180" t="s">
        <v>1335</v>
      </c>
      <c r="D474" s="180" t="s">
        <v>653</v>
      </c>
      <c r="E474" s="180">
        <v>2012</v>
      </c>
      <c r="F474" s="180"/>
      <c r="G474" s="180" t="s">
        <v>1336</v>
      </c>
      <c r="H474" s="180" t="s">
        <v>376</v>
      </c>
      <c r="I474" s="180"/>
      <c r="J474" s="180"/>
      <c r="K474" s="180"/>
      <c r="L474" s="180"/>
      <c r="M474" s="180"/>
      <c r="N474" s="180"/>
      <c r="O474" s="180"/>
    </row>
    <row r="475" spans="1:15" ht="16" x14ac:dyDescent="0.2">
      <c r="A475" s="180" t="s">
        <v>333</v>
      </c>
      <c r="B475" s="180">
        <v>565</v>
      </c>
      <c r="C475" s="180" t="s">
        <v>1337</v>
      </c>
      <c r="D475" s="180" t="s">
        <v>1338</v>
      </c>
      <c r="E475" s="180">
        <v>35</v>
      </c>
      <c r="F475" s="180"/>
      <c r="G475" s="180" t="s">
        <v>339</v>
      </c>
      <c r="H475" s="180" t="s">
        <v>376</v>
      </c>
      <c r="I475" s="180"/>
      <c r="J475" s="180" t="s">
        <v>1879</v>
      </c>
      <c r="K475" s="180"/>
      <c r="L475" s="180"/>
      <c r="M475" s="180"/>
      <c r="N475" s="180"/>
      <c r="O475" s="180"/>
    </row>
    <row r="476" spans="1:15" ht="16" x14ac:dyDescent="0.2">
      <c r="A476" s="180" t="s">
        <v>329</v>
      </c>
      <c r="B476" s="180">
        <v>566</v>
      </c>
      <c r="C476" s="180" t="s">
        <v>587</v>
      </c>
      <c r="D476" s="180" t="s">
        <v>378</v>
      </c>
      <c r="E476" s="180">
        <v>1</v>
      </c>
      <c r="F476" s="180"/>
      <c r="G476" s="180" t="s">
        <v>588</v>
      </c>
      <c r="H476" s="180" t="s">
        <v>376</v>
      </c>
      <c r="I476" s="180"/>
      <c r="J476" s="180"/>
      <c r="K476" s="180"/>
      <c r="L476" s="180"/>
      <c r="M476" s="180"/>
      <c r="N476" s="180"/>
      <c r="O476" s="180"/>
    </row>
    <row r="477" spans="1:15" ht="16" x14ac:dyDescent="0.2">
      <c r="A477" s="180" t="s">
        <v>329</v>
      </c>
      <c r="B477" s="180">
        <v>567</v>
      </c>
      <c r="C477" s="180" t="s">
        <v>610</v>
      </c>
      <c r="D477" s="180" t="s">
        <v>378</v>
      </c>
      <c r="E477" s="180">
        <v>1</v>
      </c>
      <c r="F477" s="180"/>
      <c r="G477" s="180" t="s">
        <v>611</v>
      </c>
      <c r="H477" s="180" t="s">
        <v>376</v>
      </c>
      <c r="I477" s="180"/>
      <c r="J477" s="180"/>
      <c r="K477" s="180"/>
      <c r="L477" s="180"/>
      <c r="M477" s="180"/>
      <c r="N477" s="180"/>
      <c r="O477" s="180"/>
    </row>
    <row r="478" spans="1:15" ht="16" x14ac:dyDescent="0.2">
      <c r="A478" s="180" t="s">
        <v>333</v>
      </c>
      <c r="B478" s="180">
        <v>568</v>
      </c>
      <c r="C478" s="180" t="s">
        <v>1339</v>
      </c>
      <c r="D478" s="180" t="s">
        <v>1338</v>
      </c>
      <c r="E478" s="180">
        <v>35</v>
      </c>
      <c r="F478" s="180">
        <f>E475</f>
        <v>35</v>
      </c>
      <c r="G478" s="180" t="s">
        <v>1340</v>
      </c>
      <c r="H478" s="180" t="s">
        <v>376</v>
      </c>
      <c r="I478" s="180"/>
      <c r="J478" s="180"/>
      <c r="K478" s="180"/>
      <c r="L478" s="180"/>
      <c r="M478" s="180"/>
      <c r="N478" s="180"/>
      <c r="O478" s="180"/>
    </row>
    <row r="479" spans="1:15" ht="16" x14ac:dyDescent="0.2">
      <c r="A479" s="180" t="s">
        <v>329</v>
      </c>
      <c r="B479" s="180">
        <v>569</v>
      </c>
      <c r="C479" s="180" t="s">
        <v>421</v>
      </c>
      <c r="D479" s="180" t="s">
        <v>370</v>
      </c>
      <c r="E479" s="180">
        <v>0</v>
      </c>
      <c r="F479" s="180"/>
      <c r="G479" s="180" t="s">
        <v>422</v>
      </c>
      <c r="H479" s="180" t="s">
        <v>376</v>
      </c>
      <c r="I479" s="180"/>
      <c r="J479" s="180"/>
      <c r="K479" s="180"/>
      <c r="L479" s="180"/>
      <c r="M479" s="180"/>
      <c r="N479" s="180"/>
      <c r="O479" s="180"/>
    </row>
    <row r="480" spans="1:15" ht="16" x14ac:dyDescent="0.2">
      <c r="A480" s="180" t="s">
        <v>333</v>
      </c>
      <c r="B480" s="180">
        <v>570</v>
      </c>
      <c r="C480" s="180" t="s">
        <v>1341</v>
      </c>
      <c r="D480" s="180" t="s">
        <v>601</v>
      </c>
      <c r="E480" s="180">
        <v>2019</v>
      </c>
      <c r="F480" s="180"/>
      <c r="G480" s="180" t="s">
        <v>1342</v>
      </c>
      <c r="H480" s="180" t="s">
        <v>376</v>
      </c>
      <c r="I480" s="180"/>
      <c r="J480" s="180"/>
      <c r="K480" s="180"/>
      <c r="L480" s="180"/>
      <c r="M480" s="180"/>
      <c r="N480" s="180"/>
      <c r="O480" s="180"/>
    </row>
    <row r="481" spans="1:15" ht="16" x14ac:dyDescent="0.2">
      <c r="A481" s="180" t="s">
        <v>333</v>
      </c>
      <c r="B481" s="180">
        <v>571</v>
      </c>
      <c r="C481" s="180" t="s">
        <v>1343</v>
      </c>
      <c r="D481" s="180" t="s">
        <v>869</v>
      </c>
      <c r="E481" s="180">
        <v>6</v>
      </c>
      <c r="F481" s="180"/>
      <c r="G481" s="180" t="s">
        <v>1344</v>
      </c>
      <c r="H481" s="180" t="s">
        <v>376</v>
      </c>
      <c r="I481" s="180"/>
      <c r="J481" t="s">
        <v>1891</v>
      </c>
      <c r="K481" s="180"/>
      <c r="L481" s="180"/>
      <c r="M481" s="180"/>
      <c r="N481" s="180"/>
      <c r="O481" s="180"/>
    </row>
    <row r="482" spans="1:15" ht="16" x14ac:dyDescent="0.2">
      <c r="A482" s="180" t="s">
        <v>333</v>
      </c>
      <c r="B482" s="180">
        <v>572</v>
      </c>
      <c r="C482" s="180" t="s">
        <v>1345</v>
      </c>
      <c r="D482" s="180" t="s">
        <v>393</v>
      </c>
      <c r="E482" s="180">
        <v>3</v>
      </c>
      <c r="F482" s="180"/>
      <c r="G482" s="180" t="s">
        <v>1346</v>
      </c>
      <c r="H482" s="180" t="s">
        <v>376</v>
      </c>
      <c r="I482" s="180"/>
      <c r="J482" s="180"/>
      <c r="K482" s="180"/>
      <c r="L482" s="180"/>
      <c r="M482" s="180"/>
      <c r="N482" s="180"/>
      <c r="O482" s="180"/>
    </row>
    <row r="483" spans="1:15" ht="16" x14ac:dyDescent="0.2">
      <c r="A483" s="180" t="s">
        <v>333</v>
      </c>
      <c r="B483" s="180">
        <v>573</v>
      </c>
      <c r="C483" s="180" t="s">
        <v>1347</v>
      </c>
      <c r="D483" s="180" t="s">
        <v>1348</v>
      </c>
      <c r="E483" s="180">
        <v>9.6999999999999993</v>
      </c>
      <c r="F483" s="184">
        <f>E481*129/80</f>
        <v>9.6750000000000007</v>
      </c>
      <c r="G483" s="180" t="s">
        <v>1349</v>
      </c>
      <c r="H483" s="180" t="s">
        <v>376</v>
      </c>
      <c r="J483" s="180" t="s">
        <v>99</v>
      </c>
      <c r="K483" s="180"/>
      <c r="L483" s="180"/>
      <c r="M483" s="180"/>
      <c r="N483" s="180"/>
      <c r="O483" s="180"/>
    </row>
    <row r="484" spans="1:15" ht="16" x14ac:dyDescent="0.2">
      <c r="A484" s="180" t="s">
        <v>333</v>
      </c>
      <c r="B484" s="180">
        <v>574</v>
      </c>
      <c r="C484" s="180" t="s">
        <v>1350</v>
      </c>
      <c r="D484" s="180" t="s">
        <v>344</v>
      </c>
      <c r="E484" s="180"/>
      <c r="F484" s="180"/>
      <c r="G484" s="180" t="s">
        <v>1351</v>
      </c>
      <c r="H484" s="180" t="s">
        <v>376</v>
      </c>
      <c r="I484" s="180"/>
      <c r="J484" s="180"/>
      <c r="K484" s="180"/>
      <c r="L484" s="180"/>
      <c r="M484" s="180"/>
      <c r="N484" s="180"/>
      <c r="O484" s="180"/>
    </row>
    <row r="485" spans="1:15" ht="16" x14ac:dyDescent="0.2">
      <c r="A485" s="180" t="s">
        <v>333</v>
      </c>
      <c r="B485" s="180">
        <v>575</v>
      </c>
      <c r="C485" s="180" t="s">
        <v>1352</v>
      </c>
      <c r="D485" s="180" t="s">
        <v>1348</v>
      </c>
      <c r="E485" s="180">
        <v>9.6999999999999993</v>
      </c>
      <c r="F485" s="180">
        <f>E483</f>
        <v>9.6999999999999993</v>
      </c>
      <c r="G485" s="180" t="s">
        <v>1353</v>
      </c>
      <c r="H485" s="180" t="s">
        <v>376</v>
      </c>
      <c r="I485" s="180"/>
      <c r="J485" s="180"/>
      <c r="K485" s="180"/>
      <c r="L485" s="180"/>
      <c r="M485" s="180"/>
      <c r="N485" s="180"/>
      <c r="O485" s="180"/>
    </row>
    <row r="486" spans="1:15" ht="16" x14ac:dyDescent="0.2">
      <c r="A486" s="180" t="s">
        <v>329</v>
      </c>
      <c r="B486" s="180">
        <v>576</v>
      </c>
      <c r="C486" s="180" t="s">
        <v>612</v>
      </c>
      <c r="D486" s="180" t="s">
        <v>378</v>
      </c>
      <c r="E486" s="180">
        <v>1</v>
      </c>
      <c r="F486" s="180"/>
      <c r="G486" s="180" t="s">
        <v>613</v>
      </c>
      <c r="H486" s="180" t="s">
        <v>376</v>
      </c>
      <c r="I486" s="180"/>
      <c r="J486" s="180"/>
      <c r="K486" s="180"/>
      <c r="L486" s="180"/>
      <c r="M486" s="180"/>
      <c r="N486" s="180"/>
      <c r="O486" s="180"/>
    </row>
    <row r="487" spans="1:15" ht="16" x14ac:dyDescent="0.2">
      <c r="A487" s="180" t="s">
        <v>329</v>
      </c>
      <c r="B487" s="180">
        <v>577</v>
      </c>
      <c r="C487" s="180" t="s">
        <v>620</v>
      </c>
      <c r="D487" s="180" t="s">
        <v>378</v>
      </c>
      <c r="E487" s="180">
        <v>1</v>
      </c>
      <c r="F487" s="180"/>
      <c r="G487" s="180" t="s">
        <v>621</v>
      </c>
      <c r="H487" s="180" t="s">
        <v>376</v>
      </c>
      <c r="I487" s="180"/>
      <c r="J487" s="180"/>
      <c r="K487" s="180"/>
      <c r="L487" s="180"/>
      <c r="M487" s="180"/>
      <c r="N487" s="180"/>
      <c r="O487" s="180"/>
    </row>
    <row r="488" spans="1:15" ht="16" x14ac:dyDescent="0.2">
      <c r="A488" s="180" t="s">
        <v>329</v>
      </c>
      <c r="B488" s="180">
        <v>578</v>
      </c>
      <c r="C488" s="180" t="s">
        <v>423</v>
      </c>
      <c r="D488" s="180" t="s">
        <v>370</v>
      </c>
      <c r="E488" s="180">
        <v>0</v>
      </c>
      <c r="F488" s="180"/>
      <c r="G488" s="180" t="s">
        <v>424</v>
      </c>
      <c r="H488" s="180" t="s">
        <v>376</v>
      </c>
      <c r="I488" s="180"/>
      <c r="J488" s="180"/>
      <c r="K488" s="180"/>
      <c r="L488" s="180"/>
      <c r="M488" s="180"/>
      <c r="N488" s="180"/>
      <c r="O488" s="180"/>
    </row>
    <row r="489" spans="1:15" ht="16" x14ac:dyDescent="0.2">
      <c r="A489" s="180" t="s">
        <v>329</v>
      </c>
      <c r="B489" s="180">
        <v>579</v>
      </c>
      <c r="C489" s="180" t="s">
        <v>429</v>
      </c>
      <c r="D489" s="180" t="s">
        <v>370</v>
      </c>
      <c r="E489" s="180">
        <v>0</v>
      </c>
      <c r="F489" s="180"/>
      <c r="G489" s="180" t="s">
        <v>430</v>
      </c>
      <c r="H489" s="180" t="s">
        <v>376</v>
      </c>
      <c r="I489" s="180"/>
      <c r="J489" s="180"/>
      <c r="K489" s="180"/>
      <c r="L489" s="180"/>
      <c r="M489" s="180"/>
      <c r="N489" s="180"/>
      <c r="O489" s="180"/>
    </row>
    <row r="490" spans="1:15" ht="16" x14ac:dyDescent="0.2">
      <c r="A490" s="180" t="s">
        <v>329</v>
      </c>
      <c r="B490" s="180">
        <v>580</v>
      </c>
      <c r="C490" s="180" t="s">
        <v>635</v>
      </c>
      <c r="D490" s="180" t="s">
        <v>378</v>
      </c>
      <c r="E490" s="180">
        <v>1</v>
      </c>
      <c r="F490" s="180"/>
      <c r="G490" s="180" t="s">
        <v>636</v>
      </c>
      <c r="H490" s="180" t="s">
        <v>376</v>
      </c>
      <c r="I490" s="180"/>
      <c r="J490" s="180"/>
      <c r="K490" s="180"/>
      <c r="L490" s="180"/>
      <c r="M490" s="180"/>
      <c r="N490" s="180"/>
      <c r="O490" s="180"/>
    </row>
    <row r="491" spans="1:15" ht="16" x14ac:dyDescent="0.2">
      <c r="A491" s="180" t="s">
        <v>333</v>
      </c>
      <c r="B491" s="180">
        <v>581</v>
      </c>
      <c r="C491" s="180" t="s">
        <v>1354</v>
      </c>
      <c r="D491" s="180" t="s">
        <v>1355</v>
      </c>
      <c r="E491" s="180">
        <v>18</v>
      </c>
      <c r="F491" s="180"/>
      <c r="G491" s="180" t="s">
        <v>1356</v>
      </c>
      <c r="H491" s="180" t="s">
        <v>376</v>
      </c>
      <c r="I491" s="180"/>
      <c r="J491" s="180"/>
      <c r="K491" s="180"/>
      <c r="L491" s="180"/>
      <c r="M491" s="180"/>
      <c r="N491" s="180"/>
      <c r="O491" s="180"/>
    </row>
    <row r="492" spans="1:15" ht="16" x14ac:dyDescent="0.2">
      <c r="A492" s="180" t="s">
        <v>333</v>
      </c>
      <c r="B492" s="180">
        <v>582</v>
      </c>
      <c r="C492" s="180" t="s">
        <v>1357</v>
      </c>
      <c r="D492" s="180" t="s">
        <v>1358</v>
      </c>
      <c r="E492" s="180">
        <v>9.7000000000000003E-2</v>
      </c>
      <c r="F492" s="180">
        <f>F485/100</f>
        <v>9.6999999999999989E-2</v>
      </c>
      <c r="G492" s="180" t="s">
        <v>1359</v>
      </c>
      <c r="H492" s="180" t="s">
        <v>376</v>
      </c>
      <c r="I492" s="180"/>
      <c r="J492" s="180"/>
      <c r="K492" s="180"/>
      <c r="L492" s="180"/>
      <c r="M492" s="180"/>
      <c r="N492" s="180"/>
      <c r="O492" s="180"/>
    </row>
    <row r="493" spans="1:15" ht="16" x14ac:dyDescent="0.2">
      <c r="A493" s="180" t="s">
        <v>329</v>
      </c>
      <c r="B493" s="180">
        <v>583</v>
      </c>
      <c r="C493" s="180" t="s">
        <v>650</v>
      </c>
      <c r="D493" s="180" t="s">
        <v>378</v>
      </c>
      <c r="E493" s="180">
        <v>1</v>
      </c>
      <c r="F493" s="180"/>
      <c r="G493" s="180" t="s">
        <v>651</v>
      </c>
      <c r="H493" s="180" t="s">
        <v>376</v>
      </c>
      <c r="I493" s="180"/>
      <c r="J493" s="180"/>
      <c r="K493" s="180"/>
      <c r="L493" s="180"/>
      <c r="M493" s="180"/>
      <c r="N493" s="180"/>
      <c r="O493" s="180"/>
    </row>
    <row r="494" spans="1:15" ht="16" x14ac:dyDescent="0.2">
      <c r="A494" s="180" t="s">
        <v>329</v>
      </c>
      <c r="B494" s="180">
        <v>584</v>
      </c>
      <c r="C494" s="180" t="s">
        <v>477</v>
      </c>
      <c r="D494" s="180" t="s">
        <v>370</v>
      </c>
      <c r="E494" s="180">
        <v>0</v>
      </c>
      <c r="F494" s="180"/>
      <c r="G494" s="180" t="s">
        <v>478</v>
      </c>
      <c r="H494" s="180" t="s">
        <v>376</v>
      </c>
      <c r="I494" s="180"/>
      <c r="J494" s="180"/>
      <c r="K494" s="180"/>
      <c r="L494" s="180"/>
      <c r="M494" s="180"/>
      <c r="N494" s="180"/>
      <c r="O494" s="180"/>
    </row>
    <row r="495" spans="1:15" ht="16" x14ac:dyDescent="0.2">
      <c r="A495" s="180" t="s">
        <v>333</v>
      </c>
      <c r="B495" s="180">
        <v>585</v>
      </c>
      <c r="C495" s="180" t="s">
        <v>1360</v>
      </c>
      <c r="D495" s="180" t="s">
        <v>1361</v>
      </c>
      <c r="E495" s="180">
        <v>1.35</v>
      </c>
      <c r="F495" s="180">
        <f>1+0.01*$E$475</f>
        <v>1.35</v>
      </c>
      <c r="G495" s="180" t="s">
        <v>1362</v>
      </c>
      <c r="H495" s="180" t="s">
        <v>376</v>
      </c>
      <c r="I495" s="180"/>
      <c r="J495" s="180"/>
      <c r="K495" s="180"/>
      <c r="L495" s="180"/>
      <c r="M495" s="180"/>
      <c r="N495" s="180"/>
      <c r="O495" s="180"/>
    </row>
    <row r="496" spans="1:15" ht="16" x14ac:dyDescent="0.2">
      <c r="A496" s="180" t="s">
        <v>333</v>
      </c>
      <c r="B496" s="180">
        <v>586</v>
      </c>
      <c r="C496" s="180" t="s">
        <v>1363</v>
      </c>
      <c r="D496" s="180" t="s">
        <v>1364</v>
      </c>
      <c r="E496" s="180">
        <v>1.9</v>
      </c>
      <c r="F496" s="184">
        <f>$F$728</f>
        <v>1.8956834313497564</v>
      </c>
      <c r="G496" s="180" t="s">
        <v>363</v>
      </c>
      <c r="H496" s="180" t="s">
        <v>376</v>
      </c>
      <c r="I496" s="180"/>
      <c r="J496" s="180"/>
      <c r="K496" s="180"/>
      <c r="L496" s="180"/>
      <c r="M496" s="180"/>
      <c r="N496" s="180"/>
      <c r="O496" s="180"/>
    </row>
    <row r="497" spans="1:15" ht="16" x14ac:dyDescent="0.2">
      <c r="A497" s="180" t="s">
        <v>329</v>
      </c>
      <c r="B497" s="180">
        <v>587</v>
      </c>
      <c r="C497" s="180" t="s">
        <v>674</v>
      </c>
      <c r="D497" s="180" t="s">
        <v>378</v>
      </c>
      <c r="E497" s="180">
        <v>1</v>
      </c>
      <c r="F497" s="180"/>
      <c r="G497" s="180" t="s">
        <v>675</v>
      </c>
      <c r="H497" s="180" t="s">
        <v>376</v>
      </c>
      <c r="I497" s="180"/>
      <c r="J497" s="180"/>
      <c r="K497" s="180"/>
      <c r="L497" s="180"/>
      <c r="M497" s="180"/>
      <c r="N497" s="180"/>
      <c r="O497" s="180"/>
    </row>
    <row r="498" spans="1:15" ht="16" x14ac:dyDescent="0.2">
      <c r="A498" s="180" t="s">
        <v>329</v>
      </c>
      <c r="B498" s="180">
        <v>588</v>
      </c>
      <c r="C498" s="180" t="s">
        <v>676</v>
      </c>
      <c r="D498" s="180" t="s">
        <v>378</v>
      </c>
      <c r="E498" s="180">
        <v>1</v>
      </c>
      <c r="F498" s="180"/>
      <c r="G498" s="180" t="s">
        <v>677</v>
      </c>
      <c r="H498" s="180" t="s">
        <v>376</v>
      </c>
      <c r="I498" s="180"/>
      <c r="J498" s="180"/>
      <c r="K498" s="180"/>
      <c r="L498" s="180"/>
      <c r="M498" s="180"/>
      <c r="N498" s="180"/>
      <c r="O498" s="180"/>
    </row>
    <row r="499" spans="1:15" ht="16" x14ac:dyDescent="0.2">
      <c r="A499" s="180" t="s">
        <v>329</v>
      </c>
      <c r="B499" s="180">
        <v>589</v>
      </c>
      <c r="C499" s="180" t="s">
        <v>1010</v>
      </c>
      <c r="D499" s="180" t="s">
        <v>342</v>
      </c>
      <c r="E499" s="180">
        <v>2</v>
      </c>
      <c r="F499" s="180"/>
      <c r="G499" s="180" t="s">
        <v>1011</v>
      </c>
      <c r="H499" s="180" t="s">
        <v>376</v>
      </c>
      <c r="I499" s="180"/>
      <c r="J499" s="180"/>
      <c r="K499" s="180"/>
      <c r="L499" s="180"/>
      <c r="M499" s="180"/>
      <c r="N499" s="180"/>
      <c r="O499" s="180"/>
    </row>
    <row r="500" spans="1:15" ht="16" x14ac:dyDescent="0.2">
      <c r="A500" s="180" t="s">
        <v>333</v>
      </c>
      <c r="B500" s="180">
        <v>590</v>
      </c>
      <c r="C500" s="180" t="s">
        <v>1365</v>
      </c>
      <c r="D500" s="180" t="s">
        <v>1355</v>
      </c>
      <c r="E500" s="180">
        <v>18</v>
      </c>
      <c r="F500" s="180"/>
      <c r="G500" s="180" t="s">
        <v>1366</v>
      </c>
      <c r="H500" s="180" t="s">
        <v>376</v>
      </c>
      <c r="I500" s="180"/>
      <c r="J500" s="180"/>
      <c r="K500" s="180"/>
      <c r="L500" s="180"/>
      <c r="M500" s="180"/>
      <c r="N500" s="180"/>
      <c r="O500" s="180"/>
    </row>
    <row r="501" spans="1:15" ht="16" x14ac:dyDescent="0.2">
      <c r="A501" s="180" t="s">
        <v>333</v>
      </c>
      <c r="B501" s="180">
        <v>591</v>
      </c>
      <c r="C501" s="180" t="s">
        <v>1367</v>
      </c>
      <c r="D501" s="180" t="s">
        <v>1368</v>
      </c>
      <c r="E501" s="180">
        <v>19</v>
      </c>
      <c r="F501" s="180"/>
      <c r="G501" s="180" t="s">
        <v>1105</v>
      </c>
      <c r="H501" s="180" t="s">
        <v>376</v>
      </c>
      <c r="I501" s="180"/>
      <c r="J501" s="180"/>
      <c r="K501" s="180"/>
      <c r="L501" s="180"/>
      <c r="M501" s="180"/>
      <c r="N501" s="180"/>
      <c r="O501" s="180"/>
    </row>
    <row r="502" spans="1:15" ht="16" x14ac:dyDescent="0.2">
      <c r="A502" s="180" t="s">
        <v>1092</v>
      </c>
      <c r="B502" s="180">
        <v>592</v>
      </c>
      <c r="C502" s="180" t="s">
        <v>1369</v>
      </c>
      <c r="D502" s="180" t="s">
        <v>1368</v>
      </c>
      <c r="E502" s="180">
        <v>19</v>
      </c>
      <c r="F502" s="180"/>
      <c r="G502" s="180" t="s">
        <v>1370</v>
      </c>
      <c r="H502" s="180" t="s">
        <v>376</v>
      </c>
      <c r="I502" s="180"/>
      <c r="J502" s="180"/>
      <c r="K502" s="180"/>
      <c r="L502" s="180"/>
      <c r="M502" s="180"/>
      <c r="N502" s="180"/>
      <c r="O502" s="180"/>
    </row>
    <row r="503" spans="1:15" ht="16" x14ac:dyDescent="0.2">
      <c r="A503" s="180" t="s">
        <v>329</v>
      </c>
      <c r="B503" s="180">
        <v>594</v>
      </c>
      <c r="C503" s="180" t="s">
        <v>678</v>
      </c>
      <c r="D503" s="180" t="s">
        <v>378</v>
      </c>
      <c r="E503" s="180">
        <v>1</v>
      </c>
      <c r="F503" s="180"/>
      <c r="G503" s="180" t="s">
        <v>679</v>
      </c>
      <c r="H503" s="180" t="s">
        <v>376</v>
      </c>
      <c r="I503" s="180"/>
      <c r="J503" s="180"/>
      <c r="K503" s="180"/>
      <c r="L503" s="180"/>
      <c r="M503" s="180"/>
      <c r="N503" s="180"/>
      <c r="O503" s="180"/>
    </row>
    <row r="504" spans="1:15" ht="16" x14ac:dyDescent="0.2">
      <c r="A504" s="180" t="s">
        <v>329</v>
      </c>
      <c r="B504" s="180">
        <v>595</v>
      </c>
      <c r="C504" s="180" t="s">
        <v>1072</v>
      </c>
      <c r="D504" s="180" t="s">
        <v>525</v>
      </c>
      <c r="E504" s="180">
        <v>2</v>
      </c>
      <c r="F504" s="180"/>
      <c r="G504" s="180"/>
      <c r="H504" s="180" t="s">
        <v>376</v>
      </c>
      <c r="I504" s="180"/>
      <c r="J504" s="180"/>
      <c r="K504" s="180"/>
      <c r="L504" s="180"/>
      <c r="M504" s="180"/>
      <c r="N504" s="180"/>
      <c r="O504" s="180"/>
    </row>
    <row r="505" spans="1:15" ht="16" x14ac:dyDescent="0.2">
      <c r="A505" s="180" t="s">
        <v>1092</v>
      </c>
      <c r="B505" s="180">
        <v>596</v>
      </c>
      <c r="C505" s="180" t="s">
        <v>1371</v>
      </c>
      <c r="D505" s="180" t="s">
        <v>1368</v>
      </c>
      <c r="E505" s="180">
        <v>19</v>
      </c>
      <c r="F505" s="180"/>
      <c r="G505" s="180" t="s">
        <v>1372</v>
      </c>
      <c r="H505" s="180" t="s">
        <v>376</v>
      </c>
      <c r="I505" s="180"/>
      <c r="J505" s="180"/>
      <c r="K505" s="180"/>
      <c r="L505" s="180"/>
      <c r="M505" s="180"/>
      <c r="N505" s="180"/>
      <c r="O505" s="180"/>
    </row>
    <row r="506" spans="1:15" ht="16" x14ac:dyDescent="0.2">
      <c r="A506" s="180" t="s">
        <v>333</v>
      </c>
      <c r="B506" s="180">
        <v>597</v>
      </c>
      <c r="C506" s="180" t="s">
        <v>1373</v>
      </c>
      <c r="D506" s="180" t="s">
        <v>601</v>
      </c>
      <c r="E506" s="180">
        <v>2019</v>
      </c>
      <c r="F506" s="180"/>
      <c r="G506" s="180" t="s">
        <v>1374</v>
      </c>
      <c r="H506" s="180" t="s">
        <v>376</v>
      </c>
      <c r="I506" s="180"/>
      <c r="J506" s="180"/>
      <c r="K506" s="180"/>
      <c r="L506" s="180"/>
      <c r="M506" s="180"/>
      <c r="N506" s="180"/>
      <c r="O506" s="180"/>
    </row>
    <row r="507" spans="1:15" ht="16" x14ac:dyDescent="0.2">
      <c r="A507" s="180" t="s">
        <v>329</v>
      </c>
      <c r="B507" s="180">
        <v>598</v>
      </c>
      <c r="C507" s="180" t="s">
        <v>716</v>
      </c>
      <c r="D507" s="180" t="s">
        <v>378</v>
      </c>
      <c r="E507" s="180">
        <v>1</v>
      </c>
      <c r="F507" s="180"/>
      <c r="G507" s="180" t="s">
        <v>717</v>
      </c>
      <c r="H507" s="180" t="s">
        <v>376</v>
      </c>
      <c r="I507" s="180"/>
      <c r="J507" s="180"/>
      <c r="K507" s="180"/>
      <c r="L507" s="180"/>
      <c r="M507" s="180"/>
      <c r="N507" s="180"/>
      <c r="O507" s="180"/>
    </row>
    <row r="508" spans="1:15" ht="16" x14ac:dyDescent="0.2">
      <c r="A508" s="180" t="s">
        <v>329</v>
      </c>
      <c r="B508" s="180">
        <v>599</v>
      </c>
      <c r="C508" s="180" t="s">
        <v>1012</v>
      </c>
      <c r="D508" s="180" t="s">
        <v>342</v>
      </c>
      <c r="E508" s="180">
        <v>2</v>
      </c>
      <c r="F508" s="180"/>
      <c r="G508" s="180" t="s">
        <v>1013</v>
      </c>
      <c r="H508" s="180" t="s">
        <v>376</v>
      </c>
      <c r="I508" s="180"/>
      <c r="J508" s="180"/>
      <c r="K508" s="180"/>
      <c r="L508" s="180"/>
      <c r="M508" s="180"/>
      <c r="N508" s="180"/>
      <c r="O508" s="180"/>
    </row>
    <row r="509" spans="1:15" ht="16" x14ac:dyDescent="0.2">
      <c r="A509" s="180" t="s">
        <v>333</v>
      </c>
      <c r="B509" s="180">
        <v>600</v>
      </c>
      <c r="C509" s="180" t="s">
        <v>1375</v>
      </c>
      <c r="D509" s="180" t="s">
        <v>1338</v>
      </c>
      <c r="E509" s="180">
        <v>35</v>
      </c>
      <c r="F509" s="180">
        <f>$E$475</f>
        <v>35</v>
      </c>
      <c r="G509" s="180" t="s">
        <v>1376</v>
      </c>
      <c r="H509" s="180" t="s">
        <v>376</v>
      </c>
      <c r="I509" s="180"/>
      <c r="J509" s="180"/>
      <c r="K509" s="180"/>
      <c r="L509" s="180"/>
      <c r="M509" s="180"/>
      <c r="N509" s="180"/>
      <c r="O509" s="180"/>
    </row>
    <row r="510" spans="1:15" ht="16" x14ac:dyDescent="0.2">
      <c r="A510" s="180" t="s">
        <v>1092</v>
      </c>
      <c r="B510" s="180">
        <v>602</v>
      </c>
      <c r="C510" s="180" t="s">
        <v>1377</v>
      </c>
      <c r="D510" s="180" t="s">
        <v>1368</v>
      </c>
      <c r="E510" s="180">
        <v>19</v>
      </c>
      <c r="F510" s="180"/>
      <c r="G510" s="180" t="s">
        <v>1378</v>
      </c>
      <c r="H510" s="180" t="s">
        <v>376</v>
      </c>
      <c r="I510" s="180"/>
      <c r="J510" s="180"/>
      <c r="K510" s="180"/>
      <c r="L510" s="180"/>
      <c r="M510" s="180"/>
      <c r="N510" s="180"/>
      <c r="O510" s="180"/>
    </row>
    <row r="511" spans="1:15" ht="16" x14ac:dyDescent="0.2">
      <c r="A511" s="180" t="s">
        <v>329</v>
      </c>
      <c r="B511" s="180">
        <v>603</v>
      </c>
      <c r="C511" s="180" t="s">
        <v>1014</v>
      </c>
      <c r="D511" s="180" t="s">
        <v>342</v>
      </c>
      <c r="E511" s="180">
        <v>2</v>
      </c>
      <c r="F511" s="180"/>
      <c r="G511" s="180" t="s">
        <v>1015</v>
      </c>
      <c r="H511" s="180" t="s">
        <v>376</v>
      </c>
      <c r="I511" s="180"/>
      <c r="J511" s="180"/>
      <c r="K511" s="180"/>
      <c r="L511" s="180"/>
      <c r="M511" s="180"/>
      <c r="N511" s="180"/>
      <c r="O511" s="180"/>
    </row>
    <row r="512" spans="1:15" ht="16" x14ac:dyDescent="0.2">
      <c r="A512" s="180" t="s">
        <v>329</v>
      </c>
      <c r="B512" s="180">
        <v>604</v>
      </c>
      <c r="C512" s="180" t="s">
        <v>720</v>
      </c>
      <c r="D512" s="180" t="s">
        <v>378</v>
      </c>
      <c r="E512" s="180">
        <v>1</v>
      </c>
      <c r="F512" s="180"/>
      <c r="G512" s="180" t="s">
        <v>721</v>
      </c>
      <c r="H512" s="180" t="s">
        <v>376</v>
      </c>
      <c r="I512" s="180"/>
      <c r="J512" s="180"/>
      <c r="K512" s="180"/>
      <c r="L512" s="180"/>
      <c r="M512" s="180"/>
      <c r="N512" s="180"/>
      <c r="O512" s="180"/>
    </row>
    <row r="513" spans="1:15" ht="16" x14ac:dyDescent="0.2">
      <c r="A513" s="180" t="s">
        <v>329</v>
      </c>
      <c r="B513" s="180">
        <v>605</v>
      </c>
      <c r="C513" s="180" t="s">
        <v>1023</v>
      </c>
      <c r="D513" s="180" t="s">
        <v>342</v>
      </c>
      <c r="E513" s="180">
        <v>2</v>
      </c>
      <c r="F513" s="180"/>
      <c r="G513" s="180" t="s">
        <v>1024</v>
      </c>
      <c r="H513" s="180" t="s">
        <v>376</v>
      </c>
      <c r="I513" s="180"/>
      <c r="J513" s="180"/>
      <c r="K513" s="180"/>
      <c r="L513" s="180"/>
      <c r="M513" s="180"/>
      <c r="N513" s="180"/>
      <c r="O513" s="180"/>
    </row>
    <row r="514" spans="1:15" ht="16" x14ac:dyDescent="0.2">
      <c r="A514" s="180" t="s">
        <v>329</v>
      </c>
      <c r="B514" s="180">
        <v>606</v>
      </c>
      <c r="C514" s="180" t="s">
        <v>722</v>
      </c>
      <c r="D514" s="180" t="s">
        <v>378</v>
      </c>
      <c r="E514" s="180">
        <v>1</v>
      </c>
      <c r="F514" s="180"/>
      <c r="G514" s="180" t="s">
        <v>723</v>
      </c>
      <c r="H514" s="180" t="s">
        <v>376</v>
      </c>
      <c r="I514" s="180"/>
      <c r="J514" s="180"/>
      <c r="K514" s="180"/>
      <c r="L514" s="180"/>
      <c r="M514" s="180"/>
      <c r="N514" s="180"/>
      <c r="O514" s="180"/>
    </row>
    <row r="515" spans="1:15" ht="16" x14ac:dyDescent="0.2">
      <c r="A515" s="180" t="s">
        <v>373</v>
      </c>
      <c r="B515" s="180">
        <v>607</v>
      </c>
      <c r="C515" s="180" t="s">
        <v>1379</v>
      </c>
      <c r="D515" s="180" t="s">
        <v>378</v>
      </c>
      <c r="E515" s="180">
        <v>1</v>
      </c>
      <c r="F515" s="180"/>
      <c r="G515" s="180" t="s">
        <v>1380</v>
      </c>
      <c r="H515" s="180" t="s">
        <v>376</v>
      </c>
      <c r="I515" s="180"/>
      <c r="J515" s="180"/>
      <c r="K515" s="180"/>
      <c r="L515" s="180"/>
      <c r="M515" s="180"/>
      <c r="N515" s="180"/>
      <c r="O515" s="180"/>
    </row>
    <row r="516" spans="1:15" ht="16" x14ac:dyDescent="0.2">
      <c r="A516" s="180" t="s">
        <v>333</v>
      </c>
      <c r="B516" s="180">
        <v>614</v>
      </c>
      <c r="C516" s="180" t="s">
        <v>1381</v>
      </c>
      <c r="D516" s="180" t="s">
        <v>1382</v>
      </c>
      <c r="E516" s="180">
        <v>1.5</v>
      </c>
      <c r="F516" s="180">
        <f>$E$482/2</f>
        <v>1.5</v>
      </c>
      <c r="G516" s="180" t="s">
        <v>1383</v>
      </c>
      <c r="H516" s="180" t="s">
        <v>376</v>
      </c>
      <c r="I516" s="180"/>
      <c r="J516" s="180"/>
      <c r="K516" s="180"/>
      <c r="L516" s="180"/>
      <c r="M516" s="180"/>
      <c r="N516" s="180"/>
      <c r="O516" s="180"/>
    </row>
    <row r="517" spans="1:15" ht="16" x14ac:dyDescent="0.2">
      <c r="A517" s="180" t="s">
        <v>333</v>
      </c>
      <c r="B517" s="180">
        <v>615</v>
      </c>
      <c r="C517" s="180" t="s">
        <v>1384</v>
      </c>
      <c r="D517" s="180" t="s">
        <v>497</v>
      </c>
      <c r="E517" s="180">
        <v>3</v>
      </c>
      <c r="F517" s="180">
        <f>$E$482</f>
        <v>3</v>
      </c>
      <c r="G517" s="180" t="s">
        <v>1385</v>
      </c>
      <c r="H517" s="180" t="s">
        <v>376</v>
      </c>
      <c r="I517" s="180"/>
      <c r="J517" s="180"/>
      <c r="K517" s="180"/>
      <c r="L517" s="180"/>
      <c r="M517" s="180"/>
      <c r="N517" s="180"/>
      <c r="O517" s="180"/>
    </row>
    <row r="518" spans="1:15" ht="16" x14ac:dyDescent="0.2">
      <c r="A518" s="180" t="s">
        <v>1092</v>
      </c>
      <c r="B518" s="180">
        <v>616</v>
      </c>
      <c r="C518" s="180" t="s">
        <v>1371</v>
      </c>
      <c r="D518" s="180" t="s">
        <v>897</v>
      </c>
      <c r="E518" s="180">
        <v>20</v>
      </c>
      <c r="F518" s="180"/>
      <c r="G518" s="180" t="s">
        <v>1386</v>
      </c>
      <c r="H518" s="180" t="s">
        <v>376</v>
      </c>
      <c r="I518" s="180"/>
      <c r="J518" s="180"/>
      <c r="K518" s="180"/>
      <c r="L518" s="180"/>
      <c r="M518" s="180"/>
      <c r="N518" s="180"/>
      <c r="O518" s="180"/>
    </row>
    <row r="519" spans="1:15" ht="16" x14ac:dyDescent="0.2">
      <c r="A519" s="180" t="s">
        <v>333</v>
      </c>
      <c r="B519" s="180">
        <v>617</v>
      </c>
      <c r="C519" s="180" t="s">
        <v>1387</v>
      </c>
      <c r="D519" s="180" t="s">
        <v>445</v>
      </c>
      <c r="E519" s="180">
        <v>100</v>
      </c>
      <c r="F519" s="180"/>
      <c r="G519" s="180" t="s">
        <v>1388</v>
      </c>
      <c r="H519" s="180" t="s">
        <v>376</v>
      </c>
      <c r="I519" s="180" t="s">
        <v>1892</v>
      </c>
      <c r="J519" s="180"/>
      <c r="K519" s="180"/>
      <c r="L519" s="180"/>
      <c r="M519" s="180"/>
      <c r="N519" s="180"/>
      <c r="O519" s="180"/>
    </row>
    <row r="520" spans="1:15" ht="16" x14ac:dyDescent="0.2">
      <c r="A520" s="180" t="s">
        <v>333</v>
      </c>
      <c r="B520" s="180">
        <v>618</v>
      </c>
      <c r="C520" s="180" t="s">
        <v>1389</v>
      </c>
      <c r="D520" s="180" t="s">
        <v>1038</v>
      </c>
      <c r="E520" s="180">
        <v>0</v>
      </c>
      <c r="F520" s="180"/>
      <c r="G520" s="180" t="s">
        <v>1390</v>
      </c>
      <c r="H520" s="180" t="s">
        <v>376</v>
      </c>
      <c r="I520" s="180"/>
      <c r="J520" s="180"/>
      <c r="K520" s="180"/>
      <c r="L520" s="180"/>
      <c r="M520" s="180"/>
      <c r="N520" s="180"/>
      <c r="O520" s="180"/>
    </row>
    <row r="521" spans="1:15" ht="16" x14ac:dyDescent="0.2">
      <c r="A521" s="180" t="s">
        <v>333</v>
      </c>
      <c r="B521" s="180">
        <v>619</v>
      </c>
      <c r="C521" s="180" t="s">
        <v>1391</v>
      </c>
      <c r="D521" s="180" t="s">
        <v>362</v>
      </c>
      <c r="E521" s="180">
        <v>0</v>
      </c>
      <c r="F521" s="180"/>
      <c r="G521" s="180" t="s">
        <v>1392</v>
      </c>
      <c r="H521" s="180" t="s">
        <v>376</v>
      </c>
      <c r="I521" s="180"/>
      <c r="J521" s="180"/>
      <c r="K521" s="180"/>
      <c r="L521" s="180"/>
      <c r="M521" s="180"/>
      <c r="N521" s="180"/>
      <c r="O521" s="180"/>
    </row>
    <row r="522" spans="1:15" ht="16" x14ac:dyDescent="0.2">
      <c r="A522" s="180" t="s">
        <v>333</v>
      </c>
      <c r="B522" s="180">
        <v>620</v>
      </c>
      <c r="C522" s="180" t="s">
        <v>1393</v>
      </c>
      <c r="D522" s="180" t="s">
        <v>445</v>
      </c>
      <c r="E522" s="180">
        <v>100</v>
      </c>
      <c r="F522" s="180"/>
      <c r="G522" s="180" t="s">
        <v>1394</v>
      </c>
      <c r="H522" s="180" t="s">
        <v>376</v>
      </c>
      <c r="I522" s="180"/>
      <c r="J522" s="180"/>
      <c r="K522" s="180"/>
      <c r="L522" s="180"/>
      <c r="M522" s="180"/>
      <c r="N522" s="180"/>
      <c r="O522" s="180"/>
    </row>
    <row r="523" spans="1:15" ht="16" x14ac:dyDescent="0.2">
      <c r="A523" s="180" t="s">
        <v>329</v>
      </c>
      <c r="B523" s="180">
        <v>622</v>
      </c>
      <c r="C523" s="180" t="s">
        <v>746</v>
      </c>
      <c r="D523" s="180" t="s">
        <v>378</v>
      </c>
      <c r="E523" s="180">
        <v>1</v>
      </c>
      <c r="F523" s="180"/>
      <c r="G523" s="180" t="s">
        <v>747</v>
      </c>
      <c r="H523" s="180" t="s">
        <v>376</v>
      </c>
      <c r="I523" s="180"/>
      <c r="J523" s="180"/>
      <c r="K523" s="180"/>
      <c r="L523" s="180"/>
      <c r="M523" s="180"/>
      <c r="N523" s="180"/>
      <c r="O523" s="180"/>
    </row>
    <row r="524" spans="1:15" ht="16" x14ac:dyDescent="0.2">
      <c r="A524" s="180" t="s">
        <v>1092</v>
      </c>
      <c r="B524" s="180">
        <v>625</v>
      </c>
      <c r="C524" s="180" t="s">
        <v>1395</v>
      </c>
      <c r="D524" s="181" t="s">
        <v>1368</v>
      </c>
      <c r="E524" s="180">
        <v>19</v>
      </c>
      <c r="F524" s="180"/>
      <c r="G524" s="180" t="s">
        <v>1396</v>
      </c>
      <c r="H524" s="180" t="s">
        <v>376</v>
      </c>
      <c r="I524" s="180"/>
      <c r="J524" s="180"/>
      <c r="K524" s="180"/>
      <c r="L524" s="180"/>
      <c r="M524" s="180"/>
      <c r="N524" s="180"/>
      <c r="O524" s="180"/>
    </row>
    <row r="525" spans="1:15" ht="16" x14ac:dyDescent="0.2">
      <c r="A525" s="180" t="s">
        <v>451</v>
      </c>
      <c r="B525" s="180">
        <v>636</v>
      </c>
      <c r="C525" s="180" t="s">
        <v>1397</v>
      </c>
      <c r="D525" s="180" t="s">
        <v>378</v>
      </c>
      <c r="E525" s="180">
        <v>1</v>
      </c>
      <c r="F525" s="180"/>
      <c r="G525" s="180" t="s">
        <v>1398</v>
      </c>
      <c r="H525" s="180" t="s">
        <v>376</v>
      </c>
      <c r="I525" s="180"/>
      <c r="J525" s="180"/>
      <c r="K525" s="180"/>
      <c r="L525" s="180"/>
      <c r="M525" s="180"/>
      <c r="N525" s="180"/>
      <c r="O525" s="180"/>
    </row>
    <row r="526" spans="1:15" ht="16" x14ac:dyDescent="0.2">
      <c r="A526" s="180" t="s">
        <v>451</v>
      </c>
      <c r="B526" s="180">
        <v>637</v>
      </c>
      <c r="C526" s="180" t="s">
        <v>1399</v>
      </c>
      <c r="D526" s="180" t="s">
        <v>525</v>
      </c>
      <c r="E526" s="180">
        <v>2</v>
      </c>
      <c r="F526" s="180"/>
      <c r="G526" s="180"/>
      <c r="H526" s="180" t="s">
        <v>376</v>
      </c>
      <c r="I526" s="180"/>
      <c r="J526" s="180"/>
      <c r="K526" s="180"/>
      <c r="L526" s="180"/>
      <c r="M526" s="180"/>
      <c r="N526" s="180"/>
      <c r="O526" s="180"/>
    </row>
    <row r="527" spans="1:15" ht="16" x14ac:dyDescent="0.2">
      <c r="A527" s="180" t="s">
        <v>451</v>
      </c>
      <c r="B527" s="180">
        <v>638</v>
      </c>
      <c r="C527" s="180" t="s">
        <v>467</v>
      </c>
      <c r="D527" s="180" t="s">
        <v>342</v>
      </c>
      <c r="E527" s="180">
        <v>2</v>
      </c>
      <c r="F527" s="180"/>
      <c r="G527" s="180" t="s">
        <v>1400</v>
      </c>
      <c r="H527" s="180" t="s">
        <v>376</v>
      </c>
      <c r="I527" s="180"/>
      <c r="J527" s="180"/>
      <c r="K527" s="180"/>
      <c r="L527" s="180"/>
      <c r="M527" s="180"/>
      <c r="N527" s="180"/>
      <c r="O527" s="180"/>
    </row>
    <row r="528" spans="1:15" ht="16" x14ac:dyDescent="0.2">
      <c r="A528" s="180" t="s">
        <v>451</v>
      </c>
      <c r="B528" s="180">
        <v>639</v>
      </c>
      <c r="C528" s="180" t="s">
        <v>1401</v>
      </c>
      <c r="D528" s="180" t="s">
        <v>378</v>
      </c>
      <c r="E528" s="180">
        <v>1</v>
      </c>
      <c r="F528" s="180"/>
      <c r="G528" s="180" t="s">
        <v>1402</v>
      </c>
      <c r="H528" s="180" t="s">
        <v>376</v>
      </c>
      <c r="I528" s="180"/>
      <c r="J528" s="180"/>
      <c r="K528" s="180"/>
      <c r="L528" s="180"/>
      <c r="M528" s="180"/>
      <c r="N528" s="180"/>
      <c r="O528" s="180"/>
    </row>
    <row r="529" spans="1:15" ht="16" x14ac:dyDescent="0.2">
      <c r="A529" s="180" t="s">
        <v>451</v>
      </c>
      <c r="B529" s="180">
        <v>641</v>
      </c>
      <c r="C529" s="180" t="s">
        <v>467</v>
      </c>
      <c r="D529" s="180" t="s">
        <v>378</v>
      </c>
      <c r="E529" s="180">
        <v>1</v>
      </c>
      <c r="F529" s="180"/>
      <c r="G529" s="180" t="s">
        <v>1403</v>
      </c>
      <c r="H529" s="180" t="s">
        <v>376</v>
      </c>
      <c r="I529" s="180"/>
      <c r="J529" s="180"/>
      <c r="K529" s="180"/>
      <c r="L529" s="180"/>
      <c r="M529" s="180"/>
      <c r="N529" s="180"/>
      <c r="O529" s="180"/>
    </row>
    <row r="530" spans="1:15" ht="16" x14ac:dyDescent="0.2">
      <c r="A530" s="180" t="s">
        <v>329</v>
      </c>
      <c r="B530" s="180">
        <v>642</v>
      </c>
      <c r="C530" s="180" t="s">
        <v>756</v>
      </c>
      <c r="D530" s="180" t="s">
        <v>378</v>
      </c>
      <c r="E530" s="180">
        <v>1</v>
      </c>
      <c r="F530" s="180"/>
      <c r="G530" s="180" t="s">
        <v>757</v>
      </c>
      <c r="H530" s="180" t="s">
        <v>376</v>
      </c>
      <c r="I530" s="180"/>
      <c r="J530" s="180"/>
      <c r="K530" s="180"/>
      <c r="L530" s="180"/>
      <c r="M530" s="180"/>
      <c r="N530" s="180"/>
      <c r="O530" s="180"/>
    </row>
    <row r="531" spans="1:15" ht="16" x14ac:dyDescent="0.2">
      <c r="A531" s="180" t="s">
        <v>451</v>
      </c>
      <c r="B531" s="180">
        <v>643</v>
      </c>
      <c r="C531" s="180" t="s">
        <v>1404</v>
      </c>
      <c r="D531" s="180" t="s">
        <v>378</v>
      </c>
      <c r="E531" s="180">
        <v>1</v>
      </c>
      <c r="F531" s="180"/>
      <c r="G531" s="180" t="s">
        <v>1405</v>
      </c>
      <c r="H531" s="180" t="s">
        <v>376</v>
      </c>
      <c r="I531" s="180"/>
      <c r="J531" s="180"/>
      <c r="K531" s="180"/>
      <c r="L531" s="180"/>
      <c r="M531" s="180"/>
      <c r="N531" s="180"/>
      <c r="O531" s="180"/>
    </row>
    <row r="532" spans="1:15" ht="16" x14ac:dyDescent="0.2">
      <c r="A532" s="180" t="s">
        <v>333</v>
      </c>
      <c r="B532" s="180">
        <v>644</v>
      </c>
      <c r="C532" s="180" t="s">
        <v>1129</v>
      </c>
      <c r="D532" s="181" t="s">
        <v>1893</v>
      </c>
      <c r="E532" s="180">
        <v>2.1</v>
      </c>
      <c r="F532" s="196">
        <f>Tables12!$J$24</f>
        <v>2.0684455651021293E-2</v>
      </c>
      <c r="G532" s="180" t="s">
        <v>1899</v>
      </c>
      <c r="H532" s="180" t="s">
        <v>376</v>
      </c>
      <c r="I532" s="186">
        <f>F535*BenefitParams!$D$14*F537</f>
        <v>-2.068445565102129E-2</v>
      </c>
      <c r="J532" s="180"/>
      <c r="K532" s="180"/>
      <c r="L532" s="180"/>
      <c r="M532" s="180"/>
      <c r="N532" s="180"/>
      <c r="O532" s="180"/>
    </row>
    <row r="533" spans="1:15" ht="16" x14ac:dyDescent="0.2">
      <c r="A533" s="180" t="s">
        <v>451</v>
      </c>
      <c r="B533" s="180">
        <v>645</v>
      </c>
      <c r="C533" s="180" t="s">
        <v>1896</v>
      </c>
      <c r="D533" s="180" t="s">
        <v>378</v>
      </c>
      <c r="E533" s="180">
        <v>1</v>
      </c>
      <c r="F533" s="180"/>
      <c r="G533" s="180" t="s">
        <v>1900</v>
      </c>
      <c r="H533" s="180" t="s">
        <v>376</v>
      </c>
      <c r="I533" s="180"/>
      <c r="J533" s="180"/>
      <c r="K533" s="180"/>
      <c r="L533" s="180"/>
      <c r="M533" s="180"/>
      <c r="N533" s="180"/>
      <c r="O533" s="180"/>
    </row>
    <row r="534" spans="1:15" ht="16" x14ac:dyDescent="0.2">
      <c r="A534" s="180" t="s">
        <v>451</v>
      </c>
      <c r="B534" s="180">
        <v>646</v>
      </c>
      <c r="C534" s="180" t="s">
        <v>1897</v>
      </c>
      <c r="D534" s="180" t="s">
        <v>378</v>
      </c>
      <c r="E534" s="180">
        <v>1</v>
      </c>
      <c r="F534" s="180"/>
      <c r="G534" s="180" t="s">
        <v>1901</v>
      </c>
      <c r="H534" s="180" t="s">
        <v>376</v>
      </c>
      <c r="I534" s="180"/>
      <c r="J534" s="180"/>
      <c r="K534" s="180"/>
      <c r="L534" s="180"/>
      <c r="M534" s="180"/>
      <c r="N534" s="180"/>
      <c r="O534" s="180"/>
    </row>
    <row r="535" spans="1:15" ht="16" x14ac:dyDescent="0.2">
      <c r="A535" s="180" t="s">
        <v>333</v>
      </c>
      <c r="B535" s="180">
        <v>647</v>
      </c>
      <c r="C535" s="180" t="s">
        <v>1898</v>
      </c>
      <c r="D535" s="181" t="s">
        <v>1894</v>
      </c>
      <c r="E535" s="180">
        <v>8.3000000000000004E-2</v>
      </c>
      <c r="F535" s="191">
        <f>Tables12!J6</f>
        <v>-8.2666780977018961E-2</v>
      </c>
      <c r="G535" s="180" t="s">
        <v>1406</v>
      </c>
      <c r="H535" s="180" t="s">
        <v>376</v>
      </c>
      <c r="I535" s="180"/>
      <c r="J535" s="180"/>
      <c r="K535" s="180"/>
      <c r="L535" s="180"/>
      <c r="M535" s="180"/>
      <c r="N535" s="180"/>
      <c r="O535" s="180"/>
    </row>
    <row r="536" spans="1:15" ht="16" x14ac:dyDescent="0.2">
      <c r="A536" s="180" t="s">
        <v>329</v>
      </c>
      <c r="B536" s="180">
        <v>648</v>
      </c>
      <c r="C536" s="180" t="s">
        <v>1902</v>
      </c>
      <c r="D536" s="180" t="s">
        <v>378</v>
      </c>
      <c r="E536" s="180">
        <v>1</v>
      </c>
      <c r="F536" s="180"/>
      <c r="G536" s="180" t="s">
        <v>780</v>
      </c>
      <c r="H536" s="180" t="s">
        <v>376</v>
      </c>
      <c r="I536" s="180"/>
      <c r="J536" s="180"/>
      <c r="K536" s="180"/>
      <c r="L536" s="180"/>
      <c r="M536" s="180"/>
      <c r="N536" s="180"/>
      <c r="O536" s="180"/>
    </row>
    <row r="537" spans="1:15" ht="16" x14ac:dyDescent="0.2">
      <c r="A537" s="180" t="s">
        <v>333</v>
      </c>
      <c r="B537" s="180">
        <v>649</v>
      </c>
      <c r="C537" s="180" t="s">
        <v>1903</v>
      </c>
      <c r="D537" s="180" t="s">
        <v>1407</v>
      </c>
      <c r="E537" s="180">
        <v>4.2</v>
      </c>
      <c r="F537" s="184">
        <f>1/BackgroundInfo1!$B$10</f>
        <v>4.1686702778619518</v>
      </c>
      <c r="G537" s="180" t="s">
        <v>1408</v>
      </c>
      <c r="H537" s="180" t="s">
        <v>376</v>
      </c>
      <c r="I537" s="180"/>
      <c r="J537" s="180"/>
      <c r="K537" s="180"/>
      <c r="L537" s="180"/>
      <c r="M537" s="180"/>
      <c r="N537" s="180"/>
      <c r="O537" s="180"/>
    </row>
    <row r="538" spans="1:15" ht="16" x14ac:dyDescent="0.2">
      <c r="A538" s="180" t="s">
        <v>451</v>
      </c>
      <c r="B538" s="180">
        <v>650</v>
      </c>
      <c r="C538" s="180" t="s">
        <v>1409</v>
      </c>
      <c r="D538" s="180" t="s">
        <v>342</v>
      </c>
      <c r="E538" s="180">
        <v>2</v>
      </c>
      <c r="F538" s="180"/>
      <c r="G538" s="180" t="s">
        <v>1904</v>
      </c>
      <c r="H538" s="180" t="s">
        <v>376</v>
      </c>
      <c r="I538" s="180"/>
      <c r="J538" s="180"/>
      <c r="K538" s="180"/>
      <c r="L538" s="180"/>
      <c r="M538" s="180"/>
      <c r="N538" s="180"/>
      <c r="O538" s="180"/>
    </row>
    <row r="539" spans="1:15" ht="16" x14ac:dyDescent="0.2">
      <c r="A539" s="180" t="s">
        <v>333</v>
      </c>
      <c r="B539" s="180">
        <v>651</v>
      </c>
      <c r="C539" s="180" t="s">
        <v>1410</v>
      </c>
      <c r="D539" s="181" t="s">
        <v>1895</v>
      </c>
      <c r="E539" s="180">
        <v>21.9</v>
      </c>
      <c r="F539" s="196">
        <f>Tables12!U11</f>
        <v>0.21896007230666897</v>
      </c>
      <c r="G539" s="180" t="s">
        <v>1411</v>
      </c>
      <c r="H539" s="180" t="s">
        <v>376</v>
      </c>
      <c r="I539" s="186">
        <f>F532*(1-F544)/F542</f>
        <v>0.21896007230666897</v>
      </c>
      <c r="J539" s="180"/>
      <c r="K539" s="180"/>
      <c r="L539" s="180"/>
      <c r="M539" s="180"/>
      <c r="N539" s="180"/>
      <c r="O539" s="180"/>
    </row>
    <row r="540" spans="1:15" ht="16" x14ac:dyDescent="0.2">
      <c r="A540" s="180" t="s">
        <v>333</v>
      </c>
      <c r="B540" s="180">
        <v>652</v>
      </c>
      <c r="C540" s="180" t="s">
        <v>1905</v>
      </c>
      <c r="D540" s="180" t="s">
        <v>344</v>
      </c>
      <c r="E540" s="180"/>
      <c r="F540" s="180"/>
      <c r="G540" s="180" t="s">
        <v>1412</v>
      </c>
      <c r="H540" s="180" t="s">
        <v>376</v>
      </c>
      <c r="I540" s="180"/>
      <c r="J540" s="180"/>
      <c r="K540" s="180"/>
      <c r="L540" s="180"/>
      <c r="M540" s="180"/>
      <c r="N540" s="180"/>
      <c r="O540" s="180"/>
    </row>
    <row r="541" spans="1:15" ht="16" x14ac:dyDescent="0.2">
      <c r="A541" s="180" t="s">
        <v>451</v>
      </c>
      <c r="B541" s="180">
        <v>653</v>
      </c>
      <c r="C541" s="180" t="s">
        <v>1906</v>
      </c>
      <c r="D541" s="180" t="s">
        <v>378</v>
      </c>
      <c r="E541" s="180">
        <v>1</v>
      </c>
      <c r="F541" s="180"/>
      <c r="G541" s="180" t="s">
        <v>1413</v>
      </c>
      <c r="H541" s="180" t="s">
        <v>376</v>
      </c>
      <c r="I541" s="180"/>
      <c r="J541" s="180"/>
      <c r="K541" s="180"/>
      <c r="L541" s="180"/>
      <c r="M541" s="180"/>
      <c r="N541" s="180"/>
      <c r="O541" s="180"/>
    </row>
    <row r="542" spans="1:15" ht="16" x14ac:dyDescent="0.2">
      <c r="A542" s="180" t="s">
        <v>333</v>
      </c>
      <c r="B542" s="180">
        <v>654</v>
      </c>
      <c r="C542" s="180" t="s">
        <v>1907</v>
      </c>
      <c r="D542" s="180" t="s">
        <v>1414</v>
      </c>
      <c r="E542" s="180">
        <v>8.5000000000000006E-2</v>
      </c>
      <c r="F542" s="191">
        <f>BenefitParams!$D$12</f>
        <v>8.4846320180748447E-2</v>
      </c>
      <c r="G542" s="180" t="s">
        <v>1415</v>
      </c>
      <c r="H542" s="180" t="s">
        <v>376</v>
      </c>
      <c r="I542" s="180"/>
      <c r="J542" s="180"/>
      <c r="K542" s="180"/>
      <c r="L542" s="180"/>
      <c r="M542" s="180"/>
      <c r="N542" s="180"/>
      <c r="O542" s="180"/>
    </row>
    <row r="543" spans="1:15" ht="16" x14ac:dyDescent="0.2">
      <c r="A543" s="180" t="s">
        <v>329</v>
      </c>
      <c r="B543" s="180">
        <v>655</v>
      </c>
      <c r="C543" s="180" t="s">
        <v>1908</v>
      </c>
      <c r="D543" s="180" t="s">
        <v>378</v>
      </c>
      <c r="E543" s="180">
        <v>1</v>
      </c>
      <c r="F543" s="180"/>
      <c r="G543" s="180" t="s">
        <v>789</v>
      </c>
      <c r="H543" s="182" t="s">
        <v>376</v>
      </c>
      <c r="I543" s="180"/>
      <c r="J543" s="180"/>
      <c r="K543" s="180"/>
      <c r="L543" s="180"/>
      <c r="M543" s="180"/>
      <c r="N543" s="180"/>
      <c r="O543" s="180"/>
    </row>
    <row r="544" spans="1:15" ht="16" x14ac:dyDescent="0.2">
      <c r="A544" s="180" t="s">
        <v>333</v>
      </c>
      <c r="B544" s="180">
        <v>656</v>
      </c>
      <c r="C544" s="180" t="s">
        <v>1909</v>
      </c>
      <c r="D544" s="180" t="s">
        <v>1416</v>
      </c>
      <c r="E544" s="180">
        <v>0.10199999999999999</v>
      </c>
      <c r="F544" s="191">
        <f>BackgroundInfo1!$D$41</f>
        <v>0.1018397237437485</v>
      </c>
      <c r="G544" s="180" t="s">
        <v>1417</v>
      </c>
      <c r="H544" s="180" t="s">
        <v>376</v>
      </c>
      <c r="I544" s="180"/>
      <c r="J544" s="180"/>
      <c r="K544" s="180"/>
      <c r="L544" s="180"/>
      <c r="M544" s="180"/>
      <c r="N544" s="180"/>
      <c r="O544" s="180"/>
    </row>
    <row r="545" spans="1:15" ht="16" x14ac:dyDescent="0.2">
      <c r="A545" s="180" t="s">
        <v>333</v>
      </c>
      <c r="B545" s="180">
        <v>657</v>
      </c>
      <c r="C545" s="180" t="s">
        <v>1418</v>
      </c>
      <c r="D545" s="180" t="s">
        <v>347</v>
      </c>
      <c r="E545" s="180">
        <v>2</v>
      </c>
      <c r="F545" s="180"/>
      <c r="G545" s="180" t="s">
        <v>1419</v>
      </c>
      <c r="H545" s="180" t="s">
        <v>376</v>
      </c>
      <c r="I545" s="180"/>
      <c r="J545" s="180"/>
      <c r="K545" s="180"/>
      <c r="L545" s="180"/>
      <c r="M545" s="180"/>
      <c r="N545" s="180"/>
      <c r="O545" s="180"/>
    </row>
    <row r="546" spans="1:15" ht="16" x14ac:dyDescent="0.2">
      <c r="A546" s="180" t="s">
        <v>333</v>
      </c>
      <c r="B546" s="180">
        <v>659</v>
      </c>
      <c r="C546" s="180" t="s">
        <v>1420</v>
      </c>
      <c r="D546" s="180" t="s">
        <v>641</v>
      </c>
      <c r="E546" s="180">
        <v>90</v>
      </c>
      <c r="F546" s="190">
        <f>F135</f>
        <v>0.9</v>
      </c>
      <c r="G546" s="180" t="s">
        <v>1421</v>
      </c>
      <c r="H546" s="180" t="s">
        <v>376</v>
      </c>
      <c r="I546" s="180"/>
      <c r="J546" s="180"/>
      <c r="K546" s="180"/>
      <c r="L546" s="180"/>
      <c r="M546" s="180"/>
      <c r="N546" s="180"/>
      <c r="O546" s="180"/>
    </row>
    <row r="547" spans="1:15" ht="16" x14ac:dyDescent="0.2">
      <c r="A547" s="180" t="s">
        <v>333</v>
      </c>
      <c r="B547" s="180">
        <v>663</v>
      </c>
      <c r="C547" s="180" t="s">
        <v>1422</v>
      </c>
      <c r="D547" s="180" t="s">
        <v>393</v>
      </c>
      <c r="E547" s="180">
        <v>3</v>
      </c>
      <c r="F547" s="180"/>
      <c r="G547" s="180" t="s">
        <v>1423</v>
      </c>
      <c r="H547" s="180" t="s">
        <v>376</v>
      </c>
      <c r="I547" s="180" t="s">
        <v>1910</v>
      </c>
      <c r="J547" s="180"/>
      <c r="K547" s="180"/>
      <c r="L547" s="180"/>
      <c r="M547" s="180"/>
      <c r="N547" s="180"/>
      <c r="O547" s="180"/>
    </row>
    <row r="548" spans="1:15" ht="16" x14ac:dyDescent="0.2">
      <c r="A548" s="180" t="s">
        <v>333</v>
      </c>
      <c r="B548" s="180">
        <v>666</v>
      </c>
      <c r="C548" s="180" t="s">
        <v>1424</v>
      </c>
      <c r="D548" s="180" t="s">
        <v>344</v>
      </c>
      <c r="E548" s="180"/>
      <c r="F548" s="180"/>
      <c r="G548" s="180" t="s">
        <v>1425</v>
      </c>
      <c r="H548" s="180" t="s">
        <v>376</v>
      </c>
      <c r="I548" s="180"/>
      <c r="J548" s="180"/>
      <c r="K548" s="180"/>
      <c r="L548" s="180"/>
      <c r="M548" s="180"/>
      <c r="N548" s="180"/>
      <c r="O548" s="180"/>
    </row>
    <row r="549" spans="1:15" ht="16" x14ac:dyDescent="0.2">
      <c r="A549" s="180" t="s">
        <v>333</v>
      </c>
      <c r="B549" s="180">
        <v>668</v>
      </c>
      <c r="C549" s="180" t="s">
        <v>1426</v>
      </c>
      <c r="D549" s="180" t="s">
        <v>347</v>
      </c>
      <c r="E549" s="180">
        <v>2</v>
      </c>
      <c r="F549" s="180"/>
      <c r="G549" s="180" t="s">
        <v>1427</v>
      </c>
      <c r="H549" s="180" t="s">
        <v>376</v>
      </c>
      <c r="I549" s="180"/>
      <c r="J549" s="180"/>
      <c r="K549" s="180"/>
      <c r="L549" s="180"/>
      <c r="M549" s="180"/>
      <c r="N549" s="180"/>
      <c r="O549" s="180"/>
    </row>
    <row r="550" spans="1:15" ht="16" x14ac:dyDescent="0.2">
      <c r="A550" s="180" t="s">
        <v>333</v>
      </c>
      <c r="B550" s="180">
        <v>669</v>
      </c>
      <c r="C550" s="180" t="s">
        <v>1428</v>
      </c>
      <c r="D550" s="180" t="s">
        <v>993</v>
      </c>
      <c r="E550" s="180">
        <v>4</v>
      </c>
      <c r="F550" s="180"/>
      <c r="G550" s="180" t="s">
        <v>1429</v>
      </c>
      <c r="H550" s="180" t="s">
        <v>376</v>
      </c>
      <c r="I550" s="180"/>
      <c r="J550" s="180" t="s">
        <v>160</v>
      </c>
      <c r="K550" s="180"/>
      <c r="L550" s="180"/>
      <c r="M550" s="180"/>
      <c r="N550" s="180"/>
      <c r="O550" s="180"/>
    </row>
    <row r="551" spans="1:15" ht="16" x14ac:dyDescent="0.2">
      <c r="A551" s="180" t="s">
        <v>333</v>
      </c>
      <c r="B551" s="180">
        <v>670</v>
      </c>
      <c r="C551" s="180" t="s">
        <v>1430</v>
      </c>
      <c r="D551" s="180" t="s">
        <v>1431</v>
      </c>
      <c r="E551" s="180">
        <v>7.5</v>
      </c>
      <c r="F551" s="180"/>
      <c r="G551" s="180" t="s">
        <v>1432</v>
      </c>
      <c r="H551" s="180" t="s">
        <v>376</v>
      </c>
      <c r="I551" s="180"/>
      <c r="J551" s="180" t="s">
        <v>160</v>
      </c>
      <c r="K551" s="180"/>
      <c r="L551" s="180"/>
      <c r="M551" s="180"/>
      <c r="N551" s="180"/>
      <c r="O551" s="180"/>
    </row>
    <row r="552" spans="1:15" ht="16" x14ac:dyDescent="0.2">
      <c r="A552" s="180" t="s">
        <v>333</v>
      </c>
      <c r="B552" s="180">
        <v>671</v>
      </c>
      <c r="C552" s="180" t="s">
        <v>1433</v>
      </c>
      <c r="D552" s="180" t="s">
        <v>541</v>
      </c>
      <c r="E552" s="180">
        <v>6</v>
      </c>
      <c r="F552" s="180"/>
      <c r="G552" s="180" t="s">
        <v>1434</v>
      </c>
      <c r="H552" s="180" t="s">
        <v>376</v>
      </c>
      <c r="I552" s="180"/>
      <c r="J552" s="180" t="s">
        <v>160</v>
      </c>
      <c r="K552" s="180"/>
      <c r="L552" s="180"/>
      <c r="M552" s="180"/>
      <c r="N552" s="180"/>
      <c r="O552" s="180"/>
    </row>
    <row r="553" spans="1:15" ht="16" x14ac:dyDescent="0.2">
      <c r="A553" s="180" t="s">
        <v>373</v>
      </c>
      <c r="B553" s="180">
        <v>672</v>
      </c>
      <c r="C553" s="180" t="s">
        <v>1435</v>
      </c>
      <c r="D553" s="180" t="s">
        <v>378</v>
      </c>
      <c r="E553" s="180">
        <v>1</v>
      </c>
      <c r="F553" s="180"/>
      <c r="G553" s="180" t="s">
        <v>1436</v>
      </c>
      <c r="H553" s="180" t="s">
        <v>376</v>
      </c>
      <c r="I553" s="180"/>
      <c r="J553" s="180"/>
      <c r="K553" s="180"/>
      <c r="L553" s="180"/>
      <c r="M553" s="180"/>
      <c r="N553" s="180"/>
      <c r="O553" s="180"/>
    </row>
    <row r="554" spans="1:15" ht="16" x14ac:dyDescent="0.2">
      <c r="A554" s="180" t="s">
        <v>333</v>
      </c>
      <c r="B554" s="180">
        <v>673</v>
      </c>
      <c r="C554" s="180" t="s">
        <v>1437</v>
      </c>
      <c r="D554" s="180" t="s">
        <v>352</v>
      </c>
      <c r="E554" s="180">
        <v>2022</v>
      </c>
      <c r="F554" s="180"/>
      <c r="G554" s="180" t="s">
        <v>1438</v>
      </c>
      <c r="H554" s="180" t="s">
        <v>376</v>
      </c>
      <c r="I554" s="180"/>
      <c r="J554" s="180"/>
      <c r="K554" s="180"/>
      <c r="L554" s="180"/>
      <c r="M554" s="180"/>
      <c r="N554" s="180"/>
      <c r="O554" s="180"/>
    </row>
    <row r="555" spans="1:15" ht="16" x14ac:dyDescent="0.2">
      <c r="A555" s="180" t="s">
        <v>333</v>
      </c>
      <c r="B555" s="180">
        <v>674</v>
      </c>
      <c r="C555" s="180" t="s">
        <v>1439</v>
      </c>
      <c r="D555" s="180" t="s">
        <v>1440</v>
      </c>
      <c r="E555" s="180">
        <v>0.41</v>
      </c>
      <c r="F555" s="192">
        <f>BackgroundInfo2!$B$26</f>
        <v>0.41390977443609001</v>
      </c>
      <c r="G555" s="180" t="s">
        <v>1441</v>
      </c>
      <c r="H555" s="180" t="s">
        <v>376</v>
      </c>
      <c r="I555" s="180"/>
      <c r="J555" s="180"/>
      <c r="K555" s="180"/>
      <c r="L555" s="180"/>
      <c r="M555" s="180"/>
      <c r="N555" s="180"/>
      <c r="O555" s="180"/>
    </row>
    <row r="556" spans="1:15" ht="16" x14ac:dyDescent="0.2">
      <c r="A556" s="180" t="s">
        <v>333</v>
      </c>
      <c r="B556" s="180">
        <v>675</v>
      </c>
      <c r="C556" s="180" t="s">
        <v>1442</v>
      </c>
      <c r="D556" s="180" t="s">
        <v>1440</v>
      </c>
      <c r="E556" s="180">
        <v>0.41</v>
      </c>
      <c r="F556" s="180"/>
      <c r="G556" s="180" t="s">
        <v>1443</v>
      </c>
      <c r="H556" s="180" t="s">
        <v>376</v>
      </c>
      <c r="I556" s="180"/>
      <c r="J556" s="180"/>
      <c r="K556" s="180"/>
      <c r="L556" s="180"/>
      <c r="M556" s="180"/>
      <c r="N556" s="180"/>
      <c r="O556" s="180"/>
    </row>
    <row r="557" spans="1:15" ht="16" x14ac:dyDescent="0.2">
      <c r="A557" s="180" t="s">
        <v>451</v>
      </c>
      <c r="B557" s="180">
        <v>676</v>
      </c>
      <c r="C557" s="180" t="s">
        <v>1444</v>
      </c>
      <c r="D557" s="180" t="s">
        <v>378</v>
      </c>
      <c r="E557" s="180">
        <v>1</v>
      </c>
      <c r="F557" s="180"/>
      <c r="G557" s="180" t="s">
        <v>1445</v>
      </c>
      <c r="H557" s="180" t="s">
        <v>376</v>
      </c>
      <c r="I557" s="180"/>
      <c r="J557" s="180"/>
      <c r="K557" s="180"/>
      <c r="L557" s="180"/>
      <c r="M557" s="180"/>
      <c r="N557" s="180"/>
      <c r="O557" s="180"/>
    </row>
    <row r="558" spans="1:15" ht="16" x14ac:dyDescent="0.2">
      <c r="A558" s="180" t="s">
        <v>373</v>
      </c>
      <c r="B558" s="180">
        <v>677</v>
      </c>
      <c r="C558" s="180" t="s">
        <v>1446</v>
      </c>
      <c r="D558" s="180" t="s">
        <v>378</v>
      </c>
      <c r="E558" s="180">
        <v>1</v>
      </c>
      <c r="F558" s="180"/>
      <c r="G558" s="180" t="s">
        <v>1447</v>
      </c>
      <c r="H558" s="180" t="s">
        <v>376</v>
      </c>
      <c r="I558" s="180"/>
      <c r="J558" s="180"/>
      <c r="K558" s="180"/>
      <c r="L558" s="180"/>
      <c r="M558" s="180"/>
      <c r="N558" s="180"/>
      <c r="O558" s="180"/>
    </row>
    <row r="559" spans="1:15" ht="16" x14ac:dyDescent="0.2">
      <c r="A559" s="180" t="s">
        <v>1092</v>
      </c>
      <c r="B559" s="180">
        <v>679</v>
      </c>
      <c r="C559" s="180" t="s">
        <v>1448</v>
      </c>
      <c r="D559" s="180" t="s">
        <v>497</v>
      </c>
      <c r="E559" s="180">
        <v>3</v>
      </c>
      <c r="F559" s="180"/>
      <c r="G559" s="180" t="s">
        <v>1449</v>
      </c>
      <c r="H559" s="180" t="s">
        <v>376</v>
      </c>
      <c r="I559" s="180"/>
      <c r="J559" s="180"/>
      <c r="K559" s="180"/>
      <c r="L559" s="180"/>
      <c r="M559" s="180"/>
      <c r="N559" s="180"/>
      <c r="O559" s="180"/>
    </row>
    <row r="560" spans="1:15" ht="16" x14ac:dyDescent="0.2">
      <c r="A560" s="180" t="s">
        <v>373</v>
      </c>
      <c r="B560" s="180">
        <v>680</v>
      </c>
      <c r="C560" s="180" t="s">
        <v>1450</v>
      </c>
      <c r="D560" s="180" t="s">
        <v>378</v>
      </c>
      <c r="E560" s="180">
        <v>1</v>
      </c>
      <c r="F560" s="180"/>
      <c r="G560" s="180" t="s">
        <v>1451</v>
      </c>
      <c r="H560" s="180" t="s">
        <v>376</v>
      </c>
      <c r="I560" s="180"/>
      <c r="J560" s="180"/>
      <c r="K560" s="180"/>
      <c r="L560" s="180"/>
      <c r="M560" s="180"/>
      <c r="N560" s="180"/>
      <c r="O560" s="180"/>
    </row>
    <row r="561" spans="1:15" ht="16" x14ac:dyDescent="0.2">
      <c r="A561" s="180" t="s">
        <v>333</v>
      </c>
      <c r="B561" s="180">
        <v>681</v>
      </c>
      <c r="C561" s="180" t="s">
        <v>1452</v>
      </c>
      <c r="D561" s="180" t="s">
        <v>601</v>
      </c>
      <c r="E561" s="180">
        <v>2019</v>
      </c>
      <c r="F561" s="180"/>
      <c r="G561" s="180" t="s">
        <v>1453</v>
      </c>
      <c r="H561" s="180" t="s">
        <v>376</v>
      </c>
      <c r="I561" s="180"/>
      <c r="J561" s="180"/>
      <c r="K561" s="180"/>
      <c r="L561" s="180"/>
      <c r="M561" s="180"/>
      <c r="N561" s="180"/>
      <c r="O561" s="180"/>
    </row>
    <row r="562" spans="1:15" ht="16" x14ac:dyDescent="0.2">
      <c r="A562" s="180" t="s">
        <v>1454</v>
      </c>
      <c r="B562" s="180">
        <v>682</v>
      </c>
      <c r="C562" s="180" t="s">
        <v>1455</v>
      </c>
      <c r="D562" s="180" t="s">
        <v>341</v>
      </c>
      <c r="E562" s="180">
        <v>11</v>
      </c>
      <c r="F562" s="180"/>
      <c r="G562" s="180" t="s">
        <v>1456</v>
      </c>
      <c r="H562" s="180" t="s">
        <v>376</v>
      </c>
      <c r="I562" s="180"/>
      <c r="J562" s="180"/>
      <c r="K562" s="180"/>
      <c r="L562" s="180"/>
      <c r="M562" s="180"/>
      <c r="N562" s="180"/>
      <c r="O562" s="180"/>
    </row>
    <row r="563" spans="1:15" ht="16" x14ac:dyDescent="0.2">
      <c r="A563" s="180" t="s">
        <v>333</v>
      </c>
      <c r="B563" s="180">
        <v>683</v>
      </c>
      <c r="C563" s="180" t="s">
        <v>1457</v>
      </c>
      <c r="D563" s="180" t="s">
        <v>1458</v>
      </c>
      <c r="E563" s="180">
        <v>1971</v>
      </c>
      <c r="F563" s="180"/>
      <c r="G563" s="180" t="s">
        <v>1459</v>
      </c>
      <c r="H563" s="180" t="s">
        <v>376</v>
      </c>
      <c r="I563" s="180"/>
      <c r="J563" s="180"/>
      <c r="K563" s="180"/>
      <c r="L563" s="180"/>
      <c r="M563" s="180"/>
      <c r="N563" s="180"/>
      <c r="O563" s="180"/>
    </row>
    <row r="564" spans="1:15" ht="16" x14ac:dyDescent="0.2">
      <c r="A564" s="180" t="s">
        <v>333</v>
      </c>
      <c r="B564" s="180">
        <v>684</v>
      </c>
      <c r="C564" s="180" t="s">
        <v>546</v>
      </c>
      <c r="D564" s="180" t="s">
        <v>347</v>
      </c>
      <c r="E564" s="180">
        <v>2</v>
      </c>
      <c r="F564" s="180"/>
      <c r="G564" s="180" t="s">
        <v>1460</v>
      </c>
      <c r="H564" s="180" t="s">
        <v>376</v>
      </c>
      <c r="I564" s="180"/>
      <c r="J564" s="180"/>
      <c r="K564" s="180"/>
      <c r="L564" s="180"/>
      <c r="M564" s="180"/>
      <c r="N564" s="180"/>
      <c r="O564" s="180"/>
    </row>
    <row r="565" spans="1:15" ht="16" x14ac:dyDescent="0.2">
      <c r="A565" s="180" t="s">
        <v>333</v>
      </c>
      <c r="B565" s="180">
        <v>685</v>
      </c>
      <c r="C565" s="180" t="s">
        <v>1461</v>
      </c>
      <c r="D565" s="180" t="s">
        <v>347</v>
      </c>
      <c r="E565" s="180">
        <v>2</v>
      </c>
      <c r="F565" s="180"/>
      <c r="G565" s="180" t="s">
        <v>1462</v>
      </c>
      <c r="H565" s="180" t="s">
        <v>376</v>
      </c>
      <c r="I565" s="180"/>
      <c r="J565" s="180"/>
      <c r="K565" s="180"/>
      <c r="L565" s="180"/>
      <c r="M565" s="180"/>
      <c r="N565" s="180"/>
      <c r="O565" s="180"/>
    </row>
    <row r="566" spans="1:15" ht="16" x14ac:dyDescent="0.2">
      <c r="A566" s="180" t="s">
        <v>333</v>
      </c>
      <c r="B566" s="180">
        <v>686</v>
      </c>
      <c r="C566" s="180" t="s">
        <v>1463</v>
      </c>
      <c r="D566" s="180" t="s">
        <v>370</v>
      </c>
      <c r="E566" s="180">
        <v>0</v>
      </c>
      <c r="F566" s="180"/>
      <c r="G566" s="180" t="s">
        <v>1464</v>
      </c>
      <c r="H566" s="180" t="s">
        <v>376</v>
      </c>
      <c r="I566" s="180"/>
      <c r="J566" s="180"/>
      <c r="K566" s="180"/>
      <c r="L566" s="180"/>
      <c r="M566" s="180"/>
      <c r="N566" s="180"/>
      <c r="O566" s="180"/>
    </row>
    <row r="567" spans="1:15" ht="16" x14ac:dyDescent="0.2">
      <c r="A567" s="180" t="s">
        <v>333</v>
      </c>
      <c r="B567" s="180">
        <v>687</v>
      </c>
      <c r="C567" s="180" t="s">
        <v>1465</v>
      </c>
      <c r="D567" s="180" t="s">
        <v>370</v>
      </c>
      <c r="E567" s="180">
        <v>0</v>
      </c>
      <c r="F567" s="180"/>
      <c r="G567" s="180" t="s">
        <v>1466</v>
      </c>
      <c r="H567" s="180" t="s">
        <v>376</v>
      </c>
      <c r="I567" s="180"/>
      <c r="J567" s="180"/>
      <c r="K567" s="180"/>
      <c r="L567" s="180"/>
      <c r="M567" s="180"/>
      <c r="N567" s="180"/>
      <c r="O567" s="180"/>
    </row>
    <row r="568" spans="1:15" ht="16" x14ac:dyDescent="0.2">
      <c r="A568" s="180" t="s">
        <v>333</v>
      </c>
      <c r="B568" s="180">
        <v>688</v>
      </c>
      <c r="C568" s="180" t="s">
        <v>1467</v>
      </c>
      <c r="D568" s="180" t="s">
        <v>364</v>
      </c>
      <c r="E568" s="180">
        <v>1</v>
      </c>
      <c r="F568" s="180"/>
      <c r="G568" s="180" t="s">
        <v>1468</v>
      </c>
      <c r="H568" s="180" t="s">
        <v>376</v>
      </c>
      <c r="I568" s="180"/>
      <c r="J568" s="180"/>
      <c r="K568" s="180"/>
      <c r="L568" s="180"/>
      <c r="M568" s="180"/>
      <c r="N568" s="180"/>
      <c r="O568" s="180"/>
    </row>
    <row r="569" spans="1:15" ht="16" x14ac:dyDescent="0.2">
      <c r="A569" s="180" t="s">
        <v>333</v>
      </c>
      <c r="B569" s="180">
        <v>689</v>
      </c>
      <c r="C569" s="180" t="s">
        <v>1469</v>
      </c>
      <c r="D569" s="180" t="s">
        <v>370</v>
      </c>
      <c r="E569" s="180">
        <v>0</v>
      </c>
      <c r="F569" s="180"/>
      <c r="G569" s="180" t="s">
        <v>1470</v>
      </c>
      <c r="H569" s="180" t="s">
        <v>376</v>
      </c>
      <c r="I569" s="180"/>
      <c r="J569" s="180"/>
      <c r="K569" s="180"/>
      <c r="L569" s="180"/>
      <c r="M569" s="180"/>
      <c r="N569" s="180"/>
      <c r="O569" s="180"/>
    </row>
    <row r="570" spans="1:15" ht="16" x14ac:dyDescent="0.2">
      <c r="A570" s="180" t="s">
        <v>333</v>
      </c>
      <c r="B570" s="180">
        <v>690</v>
      </c>
      <c r="C570" s="180" t="s">
        <v>1471</v>
      </c>
      <c r="D570" s="180" t="s">
        <v>370</v>
      </c>
      <c r="E570" s="180">
        <v>0</v>
      </c>
      <c r="F570" s="180"/>
      <c r="G570" s="180" t="s">
        <v>1472</v>
      </c>
      <c r="H570" s="180" t="s">
        <v>376</v>
      </c>
      <c r="I570" s="180"/>
      <c r="J570" s="180"/>
      <c r="K570" s="180"/>
      <c r="L570" s="180"/>
      <c r="M570" s="180"/>
      <c r="N570" s="180"/>
      <c r="O570" s="180"/>
    </row>
    <row r="571" spans="1:15" ht="16" x14ac:dyDescent="0.2">
      <c r="A571" s="180" t="s">
        <v>333</v>
      </c>
      <c r="B571" s="180">
        <v>691</v>
      </c>
      <c r="C571" s="180" t="s">
        <v>1473</v>
      </c>
      <c r="D571" s="180" t="s">
        <v>1474</v>
      </c>
      <c r="E571" s="180">
        <v>26</v>
      </c>
      <c r="F571" s="180"/>
      <c r="G571" s="180" t="s">
        <v>1475</v>
      </c>
      <c r="H571" s="180" t="s">
        <v>376</v>
      </c>
      <c r="I571" s="180"/>
      <c r="J571" s="180"/>
      <c r="K571" s="180"/>
      <c r="L571" s="180"/>
      <c r="M571" s="180"/>
      <c r="N571" s="180"/>
      <c r="O571" s="180"/>
    </row>
    <row r="572" spans="1:15" ht="16" x14ac:dyDescent="0.2">
      <c r="A572" s="180" t="s">
        <v>333</v>
      </c>
      <c r="B572" s="180">
        <v>694</v>
      </c>
      <c r="C572" s="180" t="s">
        <v>1476</v>
      </c>
      <c r="D572" s="180" t="s">
        <v>370</v>
      </c>
      <c r="E572" s="180">
        <v>0</v>
      </c>
      <c r="F572" s="180"/>
      <c r="G572" s="180" t="s">
        <v>389</v>
      </c>
      <c r="H572" s="180" t="s">
        <v>376</v>
      </c>
      <c r="I572" s="180"/>
      <c r="J572" s="180"/>
      <c r="K572" s="180"/>
      <c r="L572" s="180"/>
      <c r="M572" s="180"/>
      <c r="N572" s="180"/>
      <c r="O572" s="180"/>
    </row>
    <row r="573" spans="1:15" ht="16" x14ac:dyDescent="0.2">
      <c r="A573" s="180" t="s">
        <v>333</v>
      </c>
      <c r="B573" s="180">
        <v>695</v>
      </c>
      <c r="C573" s="180" t="s">
        <v>1477</v>
      </c>
      <c r="D573" s="180" t="s">
        <v>1038</v>
      </c>
      <c r="E573" s="180">
        <v>0</v>
      </c>
      <c r="F573" s="180"/>
      <c r="G573" s="180" t="s">
        <v>1478</v>
      </c>
      <c r="H573" s="180" t="s">
        <v>376</v>
      </c>
      <c r="I573" s="180"/>
      <c r="J573" s="180"/>
      <c r="K573" s="180"/>
      <c r="L573" s="180"/>
      <c r="M573" s="180"/>
      <c r="N573" s="180"/>
      <c r="O573" s="180"/>
    </row>
    <row r="574" spans="1:15" ht="16" x14ac:dyDescent="0.2">
      <c r="A574" s="180" t="s">
        <v>333</v>
      </c>
      <c r="B574" s="180">
        <v>697</v>
      </c>
      <c r="C574" s="180" t="s">
        <v>1479</v>
      </c>
      <c r="D574" s="180" t="s">
        <v>653</v>
      </c>
      <c r="E574" s="180">
        <v>2012</v>
      </c>
      <c r="F574" s="180"/>
      <c r="G574" s="180" t="s">
        <v>389</v>
      </c>
      <c r="H574" s="180" t="s">
        <v>376</v>
      </c>
      <c r="I574" s="180"/>
      <c r="J574" s="180"/>
      <c r="K574" s="180"/>
      <c r="L574" s="180"/>
      <c r="M574" s="180"/>
      <c r="N574" s="180"/>
      <c r="O574" s="180"/>
    </row>
    <row r="575" spans="1:15" ht="16" x14ac:dyDescent="0.2">
      <c r="A575" s="180" t="s">
        <v>333</v>
      </c>
      <c r="B575" s="180">
        <v>698</v>
      </c>
      <c r="C575" s="180" t="s">
        <v>1480</v>
      </c>
      <c r="D575" s="180" t="s">
        <v>349</v>
      </c>
      <c r="E575" s="180">
        <v>2020</v>
      </c>
      <c r="F575" s="180"/>
      <c r="G575" s="180" t="s">
        <v>1481</v>
      </c>
      <c r="H575" s="180" t="s">
        <v>376</v>
      </c>
      <c r="I575" s="180"/>
      <c r="J575" s="180"/>
      <c r="K575" s="180"/>
      <c r="L575" s="180"/>
      <c r="M575" s="180"/>
      <c r="N575" s="180"/>
      <c r="O575" s="180"/>
    </row>
    <row r="576" spans="1:15" ht="16" x14ac:dyDescent="0.2">
      <c r="A576" s="180" t="s">
        <v>333</v>
      </c>
      <c r="B576" s="180">
        <v>699</v>
      </c>
      <c r="C576" s="180" t="s">
        <v>1482</v>
      </c>
      <c r="D576" s="180" t="s">
        <v>378</v>
      </c>
      <c r="E576" s="180">
        <v>1</v>
      </c>
      <c r="F576" s="180"/>
      <c r="G576" s="180" t="s">
        <v>1483</v>
      </c>
      <c r="H576" s="180" t="s">
        <v>376</v>
      </c>
      <c r="I576" s="180"/>
      <c r="J576" s="180"/>
      <c r="K576" s="180"/>
      <c r="L576" s="180"/>
      <c r="M576" s="180"/>
      <c r="N576" s="180"/>
      <c r="O576" s="180"/>
    </row>
    <row r="577" spans="1:15" ht="16" x14ac:dyDescent="0.2">
      <c r="A577" s="180" t="s">
        <v>333</v>
      </c>
      <c r="B577" s="180">
        <v>700</v>
      </c>
      <c r="C577" s="180" t="s">
        <v>1484</v>
      </c>
      <c r="D577" s="180" t="s">
        <v>370</v>
      </c>
      <c r="E577" s="180">
        <v>0</v>
      </c>
      <c r="F577" s="180"/>
      <c r="G577" s="180" t="s">
        <v>1485</v>
      </c>
      <c r="H577" s="180" t="s">
        <v>376</v>
      </c>
      <c r="I577" s="180"/>
      <c r="J577" s="180"/>
      <c r="K577" s="180"/>
      <c r="L577" s="180"/>
      <c r="M577" s="180"/>
      <c r="N577" s="180"/>
      <c r="O577" s="180"/>
    </row>
    <row r="578" spans="1:15" ht="16" x14ac:dyDescent="0.2">
      <c r="A578" s="180" t="s">
        <v>333</v>
      </c>
      <c r="B578" s="180">
        <v>701</v>
      </c>
      <c r="C578" s="180" t="s">
        <v>1486</v>
      </c>
      <c r="D578" s="180" t="s">
        <v>1038</v>
      </c>
      <c r="E578" s="180">
        <v>0</v>
      </c>
      <c r="F578" s="180"/>
      <c r="G578" s="180" t="s">
        <v>1487</v>
      </c>
      <c r="H578" s="180" t="s">
        <v>376</v>
      </c>
      <c r="I578" s="180"/>
      <c r="J578" s="180"/>
      <c r="K578" s="180"/>
      <c r="L578" s="180"/>
      <c r="M578" s="180"/>
      <c r="N578" s="180"/>
      <c r="O578" s="180"/>
    </row>
    <row r="579" spans="1:15" ht="16" x14ac:dyDescent="0.2">
      <c r="A579" s="180" t="s">
        <v>333</v>
      </c>
      <c r="B579" s="180">
        <v>702</v>
      </c>
      <c r="C579" s="180" t="s">
        <v>1488</v>
      </c>
      <c r="D579" s="180" t="s">
        <v>370</v>
      </c>
      <c r="E579" s="180">
        <v>0</v>
      </c>
      <c r="F579" s="180"/>
      <c r="G579" s="180" t="s">
        <v>1489</v>
      </c>
      <c r="H579" s="180" t="s">
        <v>376</v>
      </c>
      <c r="I579" s="180"/>
      <c r="J579" s="180"/>
      <c r="K579" s="180"/>
      <c r="L579" s="180"/>
      <c r="M579" s="180"/>
      <c r="N579" s="180"/>
      <c r="O579" s="180"/>
    </row>
    <row r="580" spans="1:15" ht="16" x14ac:dyDescent="0.2">
      <c r="A580" s="180" t="s">
        <v>333</v>
      </c>
      <c r="B580" s="180">
        <v>703</v>
      </c>
      <c r="C580" s="180" t="s">
        <v>1490</v>
      </c>
      <c r="D580" s="180" t="s">
        <v>370</v>
      </c>
      <c r="E580" s="180">
        <v>0</v>
      </c>
      <c r="F580" s="180"/>
      <c r="G580" s="180" t="s">
        <v>1491</v>
      </c>
      <c r="H580" s="180" t="s">
        <v>376</v>
      </c>
      <c r="I580" s="180"/>
      <c r="J580" s="180"/>
      <c r="K580" s="180"/>
      <c r="L580" s="180"/>
      <c r="M580" s="180"/>
      <c r="N580" s="180"/>
      <c r="O580" s="180"/>
    </row>
    <row r="581" spans="1:15" ht="16" x14ac:dyDescent="0.2">
      <c r="A581" s="180" t="s">
        <v>333</v>
      </c>
      <c r="B581" s="180">
        <v>704</v>
      </c>
      <c r="C581" s="180" t="s">
        <v>1492</v>
      </c>
      <c r="D581" s="180" t="s">
        <v>370</v>
      </c>
      <c r="E581" s="180">
        <v>0</v>
      </c>
      <c r="F581" s="180"/>
      <c r="G581" s="180" t="s">
        <v>389</v>
      </c>
      <c r="H581" s="180" t="s">
        <v>376</v>
      </c>
      <c r="I581" s="180"/>
      <c r="J581" s="180"/>
      <c r="K581" s="180"/>
      <c r="L581" s="180"/>
      <c r="M581" s="180"/>
      <c r="N581" s="180"/>
      <c r="O581" s="180"/>
    </row>
    <row r="582" spans="1:15" ht="16" x14ac:dyDescent="0.2">
      <c r="A582" s="180" t="s">
        <v>333</v>
      </c>
      <c r="B582" s="180">
        <v>705</v>
      </c>
      <c r="C582" s="180" t="s">
        <v>1493</v>
      </c>
      <c r="D582" s="180" t="s">
        <v>370</v>
      </c>
      <c r="E582" s="180">
        <v>0</v>
      </c>
      <c r="F582" s="180"/>
      <c r="G582" s="180" t="s">
        <v>1494</v>
      </c>
      <c r="H582" s="180" t="s">
        <v>376</v>
      </c>
      <c r="I582" s="180"/>
      <c r="J582" s="180"/>
      <c r="K582" s="180"/>
      <c r="L582" s="180"/>
      <c r="M582" s="180"/>
      <c r="N582" s="180"/>
      <c r="O582" s="180"/>
    </row>
    <row r="583" spans="1:15" ht="16" x14ac:dyDescent="0.2">
      <c r="A583" s="180" t="s">
        <v>333</v>
      </c>
      <c r="B583" s="180">
        <v>706</v>
      </c>
      <c r="C583" s="180" t="s">
        <v>1495</v>
      </c>
      <c r="D583" s="180" t="s">
        <v>1496</v>
      </c>
      <c r="E583" s="180">
        <v>28</v>
      </c>
      <c r="F583" s="180"/>
      <c r="G583" s="180" t="s">
        <v>1497</v>
      </c>
      <c r="H583" s="180" t="s">
        <v>376</v>
      </c>
      <c r="I583" s="180"/>
      <c r="J583" s="180"/>
      <c r="K583" s="180"/>
      <c r="L583" s="180"/>
      <c r="M583" s="180"/>
      <c r="N583" s="180"/>
      <c r="O583" s="180"/>
    </row>
    <row r="584" spans="1:15" ht="16" x14ac:dyDescent="0.2">
      <c r="A584" s="180" t="s">
        <v>333</v>
      </c>
      <c r="B584" s="180">
        <v>707</v>
      </c>
      <c r="C584" s="180" t="s">
        <v>1498</v>
      </c>
      <c r="D584" s="180" t="s">
        <v>347</v>
      </c>
      <c r="E584" s="180">
        <v>2</v>
      </c>
      <c r="F584" s="180"/>
      <c r="G584" s="180" t="s">
        <v>1499</v>
      </c>
      <c r="H584" s="180" t="s">
        <v>376</v>
      </c>
      <c r="I584" s="180"/>
      <c r="J584" s="180"/>
      <c r="K584" s="180"/>
      <c r="L584" s="180"/>
      <c r="M584" s="180"/>
      <c r="N584" s="180"/>
      <c r="O584" s="180"/>
    </row>
    <row r="585" spans="1:15" ht="16" x14ac:dyDescent="0.2">
      <c r="A585" s="180" t="s">
        <v>333</v>
      </c>
      <c r="B585" s="180">
        <v>708</v>
      </c>
      <c r="C585" s="180" t="s">
        <v>1500</v>
      </c>
      <c r="D585" s="180" t="s">
        <v>836</v>
      </c>
      <c r="E585" s="180">
        <v>25</v>
      </c>
      <c r="F585" s="180"/>
      <c r="G585" s="180" t="s">
        <v>1501</v>
      </c>
      <c r="H585" s="180" t="s">
        <v>376</v>
      </c>
      <c r="I585" s="180"/>
      <c r="J585" s="180"/>
      <c r="K585" s="180"/>
      <c r="L585" s="180"/>
      <c r="M585" s="180"/>
      <c r="N585" s="180"/>
      <c r="O585" s="180"/>
    </row>
    <row r="586" spans="1:15" ht="16" x14ac:dyDescent="0.2">
      <c r="A586" s="180" t="s">
        <v>333</v>
      </c>
      <c r="B586" s="180">
        <v>709</v>
      </c>
      <c r="C586" s="180" t="s">
        <v>1502</v>
      </c>
      <c r="D586" s="180" t="s">
        <v>1503</v>
      </c>
      <c r="E586" s="180">
        <v>27</v>
      </c>
      <c r="F586" s="180"/>
      <c r="G586" s="180" t="s">
        <v>389</v>
      </c>
      <c r="H586" s="180" t="s">
        <v>376</v>
      </c>
      <c r="I586" s="180"/>
      <c r="J586" s="180"/>
      <c r="K586" s="180"/>
      <c r="L586" s="180"/>
      <c r="M586" s="180"/>
      <c r="N586" s="180"/>
      <c r="O586" s="180"/>
    </row>
    <row r="587" spans="1:15" ht="16" x14ac:dyDescent="0.2">
      <c r="A587" s="180" t="s">
        <v>333</v>
      </c>
      <c r="B587" s="180">
        <v>710</v>
      </c>
      <c r="C587" s="180" t="s">
        <v>1504</v>
      </c>
      <c r="D587" s="180" t="s">
        <v>1038</v>
      </c>
      <c r="E587" s="180">
        <v>0</v>
      </c>
      <c r="F587" s="180"/>
      <c r="G587" s="180"/>
      <c r="H587" s="180" t="s">
        <v>376</v>
      </c>
      <c r="I587" s="180"/>
      <c r="J587" s="180"/>
      <c r="K587" s="180"/>
      <c r="L587" s="180"/>
      <c r="M587" s="180"/>
      <c r="N587" s="180"/>
      <c r="O587" s="180"/>
    </row>
    <row r="588" spans="1:15" ht="16" x14ac:dyDescent="0.2">
      <c r="A588" s="180" t="s">
        <v>373</v>
      </c>
      <c r="B588" s="180">
        <v>711</v>
      </c>
      <c r="C588" s="180" t="s">
        <v>1505</v>
      </c>
      <c r="D588" s="180" t="s">
        <v>378</v>
      </c>
      <c r="E588" s="180">
        <v>1</v>
      </c>
      <c r="F588" s="180"/>
      <c r="G588" s="180" t="s">
        <v>1506</v>
      </c>
      <c r="H588" s="180" t="s">
        <v>376</v>
      </c>
      <c r="I588" s="180"/>
      <c r="J588" s="180"/>
      <c r="K588" s="180"/>
      <c r="L588" s="180"/>
      <c r="M588" s="180"/>
      <c r="N588" s="180"/>
      <c r="O588" s="180"/>
    </row>
    <row r="589" spans="1:15" ht="16" x14ac:dyDescent="0.2">
      <c r="A589" s="180" t="s">
        <v>1092</v>
      </c>
      <c r="B589" s="180">
        <v>712</v>
      </c>
      <c r="C589" s="180" t="s">
        <v>1507</v>
      </c>
      <c r="D589" s="180" t="s">
        <v>845</v>
      </c>
      <c r="E589" s="180">
        <v>29</v>
      </c>
      <c r="F589" s="180"/>
      <c r="G589" s="180" t="s">
        <v>1508</v>
      </c>
      <c r="H589" s="180" t="s">
        <v>376</v>
      </c>
      <c r="I589" s="180"/>
      <c r="J589" s="180"/>
      <c r="K589" s="180"/>
      <c r="L589" s="180"/>
      <c r="M589" s="180"/>
      <c r="N589" s="180"/>
      <c r="O589" s="180"/>
    </row>
    <row r="590" spans="1:15" ht="16" x14ac:dyDescent="0.2">
      <c r="A590" s="180" t="s">
        <v>329</v>
      </c>
      <c r="B590" s="180">
        <v>713</v>
      </c>
      <c r="C590" s="180" t="s">
        <v>1082</v>
      </c>
      <c r="D590" s="180" t="s">
        <v>525</v>
      </c>
      <c r="E590" s="180">
        <v>2</v>
      </c>
      <c r="F590" s="180"/>
      <c r="G590" s="180"/>
      <c r="H590" s="180" t="s">
        <v>376</v>
      </c>
      <c r="I590" s="180"/>
      <c r="J590" s="180"/>
      <c r="K590" s="180"/>
      <c r="L590" s="180"/>
      <c r="M590" s="180"/>
      <c r="N590" s="180"/>
      <c r="O590" s="180"/>
    </row>
    <row r="591" spans="1:15" ht="16" x14ac:dyDescent="0.2">
      <c r="A591" s="180" t="s">
        <v>333</v>
      </c>
      <c r="B591" s="180">
        <v>714</v>
      </c>
      <c r="C591" s="180" t="s">
        <v>1226</v>
      </c>
      <c r="D591" s="180" t="s">
        <v>1474</v>
      </c>
      <c r="E591" s="180">
        <v>26</v>
      </c>
      <c r="F591" s="180"/>
      <c r="G591" s="180" t="s">
        <v>1509</v>
      </c>
      <c r="H591" s="180" t="s">
        <v>376</v>
      </c>
      <c r="I591" s="180"/>
      <c r="J591" s="180"/>
      <c r="K591" s="180"/>
      <c r="L591" s="180"/>
      <c r="M591" s="180"/>
      <c r="N591" s="180"/>
      <c r="O591" s="180"/>
    </row>
    <row r="592" spans="1:15" ht="16" x14ac:dyDescent="0.2">
      <c r="A592" s="180" t="s">
        <v>329</v>
      </c>
      <c r="B592" s="180">
        <v>715</v>
      </c>
      <c r="C592" s="180" t="s">
        <v>1025</v>
      </c>
      <c r="D592" s="180" t="s">
        <v>342</v>
      </c>
      <c r="E592" s="180">
        <v>2</v>
      </c>
      <c r="F592" s="180"/>
      <c r="G592" s="180" t="s">
        <v>1026</v>
      </c>
      <c r="H592" s="180" t="s">
        <v>376</v>
      </c>
      <c r="I592" s="180"/>
      <c r="J592" s="180"/>
      <c r="K592" s="180"/>
      <c r="L592" s="180"/>
      <c r="M592" s="180"/>
      <c r="N592" s="180"/>
      <c r="O592" s="180"/>
    </row>
    <row r="593" spans="1:15" ht="16" x14ac:dyDescent="0.2">
      <c r="A593" s="180" t="s">
        <v>333</v>
      </c>
      <c r="B593" s="180">
        <v>716</v>
      </c>
      <c r="C593" s="180" t="s">
        <v>1510</v>
      </c>
      <c r="D593" s="180" t="s">
        <v>347</v>
      </c>
      <c r="E593" s="180">
        <v>2</v>
      </c>
      <c r="F593" s="180"/>
      <c r="G593" s="180" t="s">
        <v>1511</v>
      </c>
      <c r="H593" s="180" t="s">
        <v>376</v>
      </c>
      <c r="I593" s="180"/>
      <c r="J593" s="180"/>
      <c r="K593" s="180"/>
      <c r="L593" s="180"/>
      <c r="M593" s="180"/>
      <c r="N593" s="180"/>
      <c r="O593" s="180"/>
    </row>
    <row r="594" spans="1:15" ht="16" x14ac:dyDescent="0.2">
      <c r="A594" s="180" t="s">
        <v>1092</v>
      </c>
      <c r="B594" s="180">
        <v>719</v>
      </c>
      <c r="C594" s="180" t="s">
        <v>1512</v>
      </c>
      <c r="D594" s="180" t="s">
        <v>1503</v>
      </c>
      <c r="E594" s="180">
        <v>27</v>
      </c>
      <c r="F594" s="180"/>
      <c r="G594" s="180" t="s">
        <v>1513</v>
      </c>
      <c r="H594" s="180" t="s">
        <v>376</v>
      </c>
      <c r="I594" s="180"/>
      <c r="J594" s="180"/>
      <c r="K594" s="180"/>
      <c r="L594" s="180"/>
      <c r="M594" s="180"/>
      <c r="N594" s="180"/>
      <c r="O594" s="180"/>
    </row>
    <row r="595" spans="1:15" ht="16" x14ac:dyDescent="0.2">
      <c r="A595" s="180" t="s">
        <v>333</v>
      </c>
      <c r="B595" s="180">
        <v>721</v>
      </c>
      <c r="C595" s="180" t="s">
        <v>1514</v>
      </c>
      <c r="D595" s="180" t="s">
        <v>1503</v>
      </c>
      <c r="E595" s="180">
        <v>27</v>
      </c>
      <c r="F595" s="180"/>
      <c r="G595" s="180" t="s">
        <v>389</v>
      </c>
      <c r="H595" s="180" t="s">
        <v>376</v>
      </c>
      <c r="I595" s="180"/>
      <c r="J595" s="180"/>
      <c r="K595" s="180"/>
      <c r="L595" s="180"/>
      <c r="M595" s="180"/>
      <c r="N595" s="180"/>
      <c r="O595" s="180"/>
    </row>
    <row r="596" spans="1:15" ht="16" x14ac:dyDescent="0.2">
      <c r="A596" s="180" t="s">
        <v>373</v>
      </c>
      <c r="B596" s="180">
        <v>722</v>
      </c>
      <c r="C596" s="180" t="s">
        <v>1515</v>
      </c>
      <c r="D596" s="180" t="s">
        <v>378</v>
      </c>
      <c r="E596" s="180">
        <v>1</v>
      </c>
      <c r="F596" s="180"/>
      <c r="G596" s="180" t="s">
        <v>1516</v>
      </c>
      <c r="H596" s="180" t="s">
        <v>376</v>
      </c>
      <c r="I596" s="180"/>
      <c r="J596" s="180"/>
      <c r="K596" s="180"/>
      <c r="L596" s="180"/>
      <c r="M596" s="180"/>
      <c r="N596" s="180"/>
      <c r="O596" s="180"/>
    </row>
    <row r="597" spans="1:15" ht="16" x14ac:dyDescent="0.2">
      <c r="A597" s="180" t="s">
        <v>333</v>
      </c>
      <c r="B597" s="180">
        <v>723</v>
      </c>
      <c r="C597" s="180" t="s">
        <v>1517</v>
      </c>
      <c r="D597" s="180" t="s">
        <v>845</v>
      </c>
      <c r="E597" s="180">
        <v>29</v>
      </c>
      <c r="F597" s="180"/>
      <c r="G597" s="180" t="s">
        <v>1518</v>
      </c>
      <c r="H597" s="180" t="s">
        <v>376</v>
      </c>
      <c r="I597" s="180"/>
      <c r="J597" s="180"/>
      <c r="K597" s="180"/>
      <c r="L597" s="180"/>
      <c r="M597" s="180"/>
      <c r="N597" s="180"/>
      <c r="O597" s="180"/>
    </row>
    <row r="598" spans="1:15" ht="16" x14ac:dyDescent="0.2">
      <c r="A598" s="180" t="s">
        <v>333</v>
      </c>
      <c r="B598" s="180">
        <v>724</v>
      </c>
      <c r="C598" s="180" t="s">
        <v>1519</v>
      </c>
      <c r="D598" s="180" t="s">
        <v>1038</v>
      </c>
      <c r="E598" s="180">
        <v>0</v>
      </c>
      <c r="F598" s="180"/>
      <c r="G598" s="180"/>
      <c r="H598" s="180" t="s">
        <v>376</v>
      </c>
      <c r="I598" s="180"/>
      <c r="J598" s="180"/>
      <c r="K598" s="180"/>
      <c r="L598" s="180"/>
      <c r="M598" s="180"/>
      <c r="N598" s="180"/>
      <c r="O598" s="180"/>
    </row>
    <row r="599" spans="1:15" ht="16" x14ac:dyDescent="0.2">
      <c r="A599" s="180" t="s">
        <v>333</v>
      </c>
      <c r="B599" s="180">
        <v>725</v>
      </c>
      <c r="C599" s="180" t="s">
        <v>1520</v>
      </c>
      <c r="D599" s="180" t="s">
        <v>470</v>
      </c>
      <c r="E599" s="180">
        <v>5</v>
      </c>
      <c r="F599" s="180"/>
      <c r="G599" s="180" t="s">
        <v>1521</v>
      </c>
      <c r="H599" s="180" t="s">
        <v>376</v>
      </c>
      <c r="I599" s="180"/>
      <c r="J599" s="180"/>
      <c r="K599" s="180"/>
      <c r="L599" s="180"/>
      <c r="M599" s="180"/>
      <c r="N599" s="180"/>
      <c r="O599" s="180"/>
    </row>
    <row r="600" spans="1:15" ht="16" x14ac:dyDescent="0.2">
      <c r="A600" s="180" t="s">
        <v>333</v>
      </c>
      <c r="B600" s="180">
        <v>726</v>
      </c>
      <c r="C600" s="180" t="s">
        <v>1522</v>
      </c>
      <c r="D600" s="180" t="s">
        <v>814</v>
      </c>
      <c r="E600" s="180">
        <v>8</v>
      </c>
      <c r="F600" s="180"/>
      <c r="G600" s="180" t="s">
        <v>1523</v>
      </c>
      <c r="H600" s="180" t="s">
        <v>376</v>
      </c>
      <c r="I600" s="180"/>
      <c r="J600" s="180"/>
      <c r="K600" s="180"/>
      <c r="L600" s="180"/>
      <c r="M600" s="180"/>
      <c r="N600" s="180"/>
      <c r="O600" s="180"/>
    </row>
    <row r="601" spans="1:15" ht="16" x14ac:dyDescent="0.2">
      <c r="A601" s="180" t="s">
        <v>333</v>
      </c>
      <c r="B601" s="180">
        <v>727</v>
      </c>
      <c r="C601" s="180" t="s">
        <v>1524</v>
      </c>
      <c r="D601" s="180" t="s">
        <v>378</v>
      </c>
      <c r="E601" s="180">
        <v>1</v>
      </c>
      <c r="F601" s="180"/>
      <c r="G601" s="180" t="s">
        <v>1525</v>
      </c>
      <c r="H601" s="180" t="s">
        <v>376</v>
      </c>
      <c r="I601" s="180"/>
      <c r="J601" s="180"/>
      <c r="K601" s="180"/>
      <c r="L601" s="180"/>
      <c r="M601" s="180"/>
      <c r="N601" s="180"/>
      <c r="O601" s="180"/>
    </row>
    <row r="602" spans="1:15" ht="16" x14ac:dyDescent="0.2">
      <c r="A602" s="180" t="s">
        <v>333</v>
      </c>
      <c r="B602" s="180">
        <v>728</v>
      </c>
      <c r="C602" s="180" t="s">
        <v>1526</v>
      </c>
      <c r="D602" s="180" t="s">
        <v>362</v>
      </c>
      <c r="E602" s="180">
        <v>0</v>
      </c>
      <c r="F602" s="180"/>
      <c r="G602" s="180" t="s">
        <v>1527</v>
      </c>
      <c r="H602" s="180" t="s">
        <v>376</v>
      </c>
      <c r="I602" s="180"/>
      <c r="J602" s="180"/>
      <c r="K602" s="180"/>
      <c r="L602" s="180"/>
      <c r="M602" s="180"/>
      <c r="N602" s="180"/>
      <c r="O602" s="180"/>
    </row>
    <row r="603" spans="1:15" ht="16" x14ac:dyDescent="0.2">
      <c r="A603" s="180" t="s">
        <v>333</v>
      </c>
      <c r="B603" s="180">
        <v>729</v>
      </c>
      <c r="C603" s="180" t="s">
        <v>1528</v>
      </c>
      <c r="D603" s="180" t="s">
        <v>347</v>
      </c>
      <c r="E603" s="180">
        <v>2</v>
      </c>
      <c r="F603" s="180"/>
      <c r="G603" s="180" t="s">
        <v>1529</v>
      </c>
      <c r="H603" s="180" t="s">
        <v>376</v>
      </c>
      <c r="I603" s="180"/>
      <c r="J603" s="180"/>
      <c r="K603" s="180"/>
      <c r="L603" s="180"/>
      <c r="M603" s="180"/>
      <c r="N603" s="180"/>
      <c r="O603" s="180"/>
    </row>
    <row r="604" spans="1:15" ht="16" x14ac:dyDescent="0.2">
      <c r="A604" s="180" t="s">
        <v>333</v>
      </c>
      <c r="B604" s="180">
        <v>731</v>
      </c>
      <c r="C604" s="180" t="s">
        <v>1530</v>
      </c>
      <c r="D604" s="180" t="s">
        <v>404</v>
      </c>
      <c r="E604" s="180">
        <v>30</v>
      </c>
      <c r="F604" s="190">
        <f>Pharmacy!$B$9</f>
        <v>0.29787253798337188</v>
      </c>
      <c r="G604" s="180" t="s">
        <v>1531</v>
      </c>
      <c r="H604" s="180" t="s">
        <v>376</v>
      </c>
      <c r="I604" s="180"/>
      <c r="J604" s="180"/>
      <c r="K604" s="180"/>
      <c r="L604" s="180"/>
      <c r="M604" s="180"/>
      <c r="N604" s="180"/>
      <c r="O604" s="180"/>
    </row>
    <row r="605" spans="1:15" ht="16" x14ac:dyDescent="0.2">
      <c r="A605" s="180" t="s">
        <v>333</v>
      </c>
      <c r="B605" s="180">
        <v>732</v>
      </c>
      <c r="C605" s="180" t="s">
        <v>1532</v>
      </c>
      <c r="D605" s="180" t="s">
        <v>814</v>
      </c>
      <c r="E605" s="180">
        <v>8</v>
      </c>
      <c r="F605" s="180"/>
      <c r="G605" s="180" t="s">
        <v>1533</v>
      </c>
      <c r="H605" s="180" t="s">
        <v>376</v>
      </c>
      <c r="I605" s="180"/>
      <c r="J605" s="180"/>
      <c r="K605" s="180"/>
      <c r="L605" s="180"/>
      <c r="M605" s="180"/>
      <c r="N605" s="180"/>
      <c r="O605" s="180"/>
    </row>
    <row r="606" spans="1:15" ht="16" x14ac:dyDescent="0.2">
      <c r="A606" s="180" t="s">
        <v>333</v>
      </c>
      <c r="B606" s="180">
        <v>733</v>
      </c>
      <c r="C606" s="180" t="s">
        <v>1534</v>
      </c>
      <c r="D606" s="180" t="s">
        <v>1535</v>
      </c>
      <c r="E606" s="180">
        <v>0.3</v>
      </c>
      <c r="F606" s="184">
        <f>F604</f>
        <v>0.29787253798337188</v>
      </c>
      <c r="G606" s="180" t="s">
        <v>1536</v>
      </c>
      <c r="H606" s="180" t="s">
        <v>376</v>
      </c>
      <c r="I606" s="180"/>
      <c r="J606" s="180"/>
      <c r="K606" s="180"/>
      <c r="L606" s="180"/>
      <c r="M606" s="180"/>
      <c r="N606" s="180"/>
      <c r="O606" s="180"/>
    </row>
    <row r="607" spans="1:15" ht="16" x14ac:dyDescent="0.2">
      <c r="A607" s="180" t="s">
        <v>333</v>
      </c>
      <c r="B607" s="180">
        <v>734</v>
      </c>
      <c r="C607" s="180" t="s">
        <v>1537</v>
      </c>
      <c r="D607" s="180" t="s">
        <v>404</v>
      </c>
      <c r="E607" s="180">
        <v>30</v>
      </c>
      <c r="F607" s="180"/>
      <c r="G607" s="180" t="s">
        <v>1538</v>
      </c>
      <c r="H607" s="180" t="s">
        <v>376</v>
      </c>
      <c r="I607" s="180"/>
      <c r="J607" s="180"/>
      <c r="K607" s="180"/>
      <c r="L607" s="180"/>
      <c r="M607" s="180"/>
      <c r="N607" s="180"/>
      <c r="O607" s="180"/>
    </row>
    <row r="608" spans="1:15" ht="16" x14ac:dyDescent="0.2">
      <c r="A608" s="180" t="s">
        <v>333</v>
      </c>
      <c r="B608" s="180">
        <v>735</v>
      </c>
      <c r="C608" s="180" t="s">
        <v>1539</v>
      </c>
      <c r="D608" s="180" t="s">
        <v>1382</v>
      </c>
      <c r="E608" s="180">
        <v>1.5</v>
      </c>
      <c r="F608" s="180">
        <f>Pharmacy!$B$8</f>
        <v>-1.5</v>
      </c>
      <c r="G608" s="180" t="s">
        <v>1540</v>
      </c>
      <c r="H608" s="180" t="s">
        <v>376</v>
      </c>
      <c r="I608" s="180"/>
      <c r="J608" s="180"/>
      <c r="K608" s="180"/>
      <c r="L608" s="180"/>
      <c r="M608" s="180"/>
      <c r="N608" s="180"/>
      <c r="O608" s="180"/>
    </row>
    <row r="609" spans="1:15" ht="16" x14ac:dyDescent="0.2">
      <c r="A609" s="180" t="s">
        <v>333</v>
      </c>
      <c r="B609" s="180">
        <v>736</v>
      </c>
      <c r="C609" s="180" t="s">
        <v>1541</v>
      </c>
      <c r="D609" s="180" t="s">
        <v>1542</v>
      </c>
      <c r="E609" s="180">
        <v>1.125</v>
      </c>
      <c r="F609" s="180">
        <f>Pharmacy!$B$7</f>
        <v>-1.125</v>
      </c>
      <c r="G609" s="180" t="s">
        <v>1543</v>
      </c>
      <c r="H609" s="180" t="s">
        <v>376</v>
      </c>
      <c r="I609" s="180"/>
      <c r="J609" s="180"/>
      <c r="K609" s="180"/>
      <c r="L609" s="180"/>
      <c r="M609" s="180"/>
      <c r="N609" s="180"/>
      <c r="O609" s="180"/>
    </row>
    <row r="610" spans="1:15" ht="16" x14ac:dyDescent="0.2">
      <c r="A610" s="180" t="s">
        <v>333</v>
      </c>
      <c r="B610" s="180">
        <v>739</v>
      </c>
      <c r="C610" s="180" t="s">
        <v>1545</v>
      </c>
      <c r="D610" s="180" t="s">
        <v>404</v>
      </c>
      <c r="E610" s="180">
        <v>30</v>
      </c>
      <c r="F610" s="180"/>
      <c r="G610" s="180" t="s">
        <v>389</v>
      </c>
      <c r="H610" s="180" t="s">
        <v>376</v>
      </c>
      <c r="I610" s="180"/>
      <c r="J610" s="180"/>
      <c r="K610" s="180"/>
      <c r="L610" s="180"/>
      <c r="M610" s="180"/>
      <c r="N610" s="180"/>
      <c r="O610" s="180"/>
    </row>
    <row r="611" spans="1:15" ht="16" x14ac:dyDescent="0.2">
      <c r="A611" s="180" t="s">
        <v>333</v>
      </c>
      <c r="B611" s="180">
        <v>741</v>
      </c>
      <c r="C611" s="180" t="s">
        <v>1077</v>
      </c>
      <c r="D611" s="180" t="s">
        <v>338</v>
      </c>
      <c r="E611" s="180">
        <v>31</v>
      </c>
      <c r="F611" s="180"/>
      <c r="G611" s="180" t="s">
        <v>1546</v>
      </c>
      <c r="H611" s="180" t="s">
        <v>376</v>
      </c>
      <c r="I611" s="180"/>
      <c r="J611" s="180"/>
      <c r="K611" s="180"/>
      <c r="L611" s="180"/>
      <c r="M611" s="180"/>
      <c r="N611" s="180"/>
      <c r="O611" s="180"/>
    </row>
    <row r="612" spans="1:15" ht="16" x14ac:dyDescent="0.2">
      <c r="A612" s="180" t="s">
        <v>333</v>
      </c>
      <c r="B612" s="180">
        <v>742</v>
      </c>
      <c r="C612" s="180" t="s">
        <v>1547</v>
      </c>
      <c r="D612" s="180" t="s">
        <v>1548</v>
      </c>
      <c r="E612" s="180">
        <v>0.15</v>
      </c>
      <c r="F612" s="192">
        <f>BackgroundInfo1!$B$11</f>
        <v>0.15</v>
      </c>
      <c r="G612" s="180" t="s">
        <v>1549</v>
      </c>
      <c r="H612" s="180" t="s">
        <v>376</v>
      </c>
      <c r="I612" s="180"/>
      <c r="J612" s="180"/>
      <c r="K612" s="180"/>
      <c r="L612" s="180"/>
      <c r="M612" s="180"/>
      <c r="N612" s="180"/>
      <c r="O612" s="180"/>
    </row>
    <row r="613" spans="1:15" ht="16" x14ac:dyDescent="0.2">
      <c r="A613" s="180" t="s">
        <v>333</v>
      </c>
      <c r="B613" s="180">
        <v>743</v>
      </c>
      <c r="C613" s="180" t="s">
        <v>1550</v>
      </c>
      <c r="D613" s="180" t="s">
        <v>1551</v>
      </c>
      <c r="E613" s="180">
        <v>0.62</v>
      </c>
      <c r="F613" s="192">
        <f>BackgroundInfo1!$B$15</f>
        <v>0.62019730010384211</v>
      </c>
      <c r="G613" s="180" t="s">
        <v>363</v>
      </c>
      <c r="H613" s="180" t="s">
        <v>376</v>
      </c>
      <c r="I613" s="180"/>
      <c r="J613" s="180"/>
      <c r="K613" s="180"/>
      <c r="L613" s="180"/>
      <c r="M613" s="180"/>
      <c r="N613" s="180"/>
      <c r="O613" s="180"/>
    </row>
    <row r="614" spans="1:15" ht="16" x14ac:dyDescent="0.2">
      <c r="A614" s="180" t="s">
        <v>333</v>
      </c>
      <c r="B614" s="180">
        <v>744</v>
      </c>
      <c r="C614" s="180" t="s">
        <v>1552</v>
      </c>
      <c r="D614" s="180" t="s">
        <v>859</v>
      </c>
      <c r="E614" s="180">
        <v>0.5</v>
      </c>
      <c r="F614" s="180">
        <f>PartD!$B$7</f>
        <v>-0.5</v>
      </c>
      <c r="G614" s="180" t="s">
        <v>363</v>
      </c>
      <c r="H614" s="180" t="s">
        <v>376</v>
      </c>
      <c r="I614" s="180"/>
      <c r="J614" s="180"/>
      <c r="K614" s="180"/>
      <c r="L614" s="180"/>
      <c r="M614" s="180"/>
      <c r="N614" s="180"/>
      <c r="O614" s="180"/>
    </row>
    <row r="615" spans="1:15" ht="16" x14ac:dyDescent="0.2">
      <c r="A615" s="180" t="s">
        <v>333</v>
      </c>
      <c r="B615" s="180">
        <v>745</v>
      </c>
      <c r="C615" s="180" t="s">
        <v>1553</v>
      </c>
      <c r="D615" s="180" t="s">
        <v>1440</v>
      </c>
      <c r="E615" s="180">
        <v>0.41</v>
      </c>
      <c r="F615" s="192">
        <f>$F$555</f>
        <v>0.41390977443609001</v>
      </c>
      <c r="G615" s="180" t="s">
        <v>1554</v>
      </c>
      <c r="H615" s="180" t="s">
        <v>376</v>
      </c>
      <c r="I615" s="180"/>
      <c r="J615" s="180"/>
      <c r="K615" s="180"/>
      <c r="L615" s="180"/>
      <c r="M615" s="180"/>
      <c r="N615" s="180"/>
      <c r="O615" s="180"/>
    </row>
    <row r="616" spans="1:15" ht="16" x14ac:dyDescent="0.2">
      <c r="A616" s="180" t="s">
        <v>333</v>
      </c>
      <c r="B616" s="180">
        <v>746</v>
      </c>
      <c r="C616" s="180" t="s">
        <v>1555</v>
      </c>
      <c r="D616" s="180" t="s">
        <v>573</v>
      </c>
      <c r="E616" s="180">
        <v>84</v>
      </c>
      <c r="F616" s="180"/>
      <c r="G616" s="180" t="s">
        <v>1556</v>
      </c>
      <c r="H616" s="180" t="s">
        <v>376</v>
      </c>
      <c r="I616" s="180"/>
      <c r="J616" s="180"/>
      <c r="K616" s="180"/>
      <c r="L616" s="180"/>
      <c r="M616" s="180"/>
      <c r="N616" s="180"/>
      <c r="O616" s="180"/>
    </row>
    <row r="617" spans="1:15" ht="16" x14ac:dyDescent="0.2">
      <c r="A617" s="180" t="s">
        <v>333</v>
      </c>
      <c r="B617" s="180">
        <v>747</v>
      </c>
      <c r="C617" s="180" t="s">
        <v>1557</v>
      </c>
      <c r="D617" s="180" t="s">
        <v>576</v>
      </c>
      <c r="E617" s="180">
        <v>2360</v>
      </c>
      <c r="F617" s="180"/>
      <c r="G617" s="180" t="s">
        <v>1558</v>
      </c>
      <c r="H617" s="180" t="s">
        <v>376</v>
      </c>
      <c r="I617" s="180"/>
      <c r="J617" s="180"/>
      <c r="K617" s="180"/>
      <c r="L617" s="180"/>
      <c r="M617" s="180"/>
      <c r="N617" s="180"/>
      <c r="O617" s="180"/>
    </row>
    <row r="618" spans="1:15" ht="16" x14ac:dyDescent="0.2">
      <c r="A618" s="180" t="s">
        <v>739</v>
      </c>
      <c r="B618" s="180">
        <v>748</v>
      </c>
      <c r="C618" s="180" t="s">
        <v>1559</v>
      </c>
      <c r="D618" s="180" t="s">
        <v>1560</v>
      </c>
      <c r="E618" s="180">
        <v>33</v>
      </c>
      <c r="F618" s="180"/>
      <c r="G618" s="180" t="s">
        <v>1561</v>
      </c>
      <c r="H618" s="180" t="s">
        <v>376</v>
      </c>
      <c r="I618" s="180"/>
      <c r="J618" s="180" t="s">
        <v>1562</v>
      </c>
      <c r="K618" s="180"/>
      <c r="L618" s="180"/>
      <c r="M618" s="180"/>
      <c r="N618" s="180"/>
      <c r="O618" s="180"/>
    </row>
    <row r="619" spans="1:15" ht="16" x14ac:dyDescent="0.2">
      <c r="A619" s="180" t="s">
        <v>333</v>
      </c>
      <c r="B619" s="180">
        <v>749</v>
      </c>
      <c r="C619" s="180" t="s">
        <v>1563</v>
      </c>
      <c r="D619" s="180" t="s">
        <v>1564</v>
      </c>
      <c r="E619" s="180">
        <v>-51</v>
      </c>
      <c r="F619" s="180"/>
      <c r="G619" s="180" t="s">
        <v>1565</v>
      </c>
      <c r="H619" s="180" t="s">
        <v>376</v>
      </c>
      <c r="I619" s="180"/>
      <c r="J619" s="180" t="s">
        <v>1562</v>
      </c>
      <c r="K619" s="180"/>
      <c r="L619" s="180"/>
      <c r="M619" s="180"/>
      <c r="N619" s="180"/>
      <c r="O619" s="180"/>
    </row>
    <row r="620" spans="1:15" ht="16" x14ac:dyDescent="0.2">
      <c r="A620" s="180" t="s">
        <v>333</v>
      </c>
      <c r="B620" s="180">
        <v>750</v>
      </c>
      <c r="C620" s="180" t="s">
        <v>1566</v>
      </c>
      <c r="D620" s="180" t="s">
        <v>585</v>
      </c>
      <c r="E620" s="180">
        <v>-9</v>
      </c>
      <c r="F620" s="180"/>
      <c r="G620" s="180" t="s">
        <v>1567</v>
      </c>
      <c r="H620" s="180" t="s">
        <v>376</v>
      </c>
      <c r="I620" s="180"/>
      <c r="J620" s="180" t="s">
        <v>1562</v>
      </c>
      <c r="K620" s="180"/>
      <c r="L620" s="180"/>
      <c r="M620" s="180"/>
      <c r="N620" s="180"/>
      <c r="O620" s="180"/>
    </row>
    <row r="621" spans="1:15" ht="16" x14ac:dyDescent="0.2">
      <c r="A621" s="180" t="s">
        <v>333</v>
      </c>
      <c r="B621" s="180">
        <v>751</v>
      </c>
      <c r="C621" s="180" t="s">
        <v>1568</v>
      </c>
      <c r="D621" s="180" t="s">
        <v>347</v>
      </c>
      <c r="E621" s="180">
        <v>2</v>
      </c>
      <c r="F621" s="180"/>
      <c r="G621" s="180" t="s">
        <v>1569</v>
      </c>
      <c r="H621" s="180" t="s">
        <v>376</v>
      </c>
      <c r="I621" s="180"/>
      <c r="J621" s="180"/>
      <c r="K621" s="180"/>
      <c r="L621" s="180"/>
      <c r="M621" s="180"/>
      <c r="N621" s="180"/>
      <c r="O621" s="180"/>
    </row>
    <row r="622" spans="1:15" ht="16" x14ac:dyDescent="0.2">
      <c r="A622" s="180" t="s">
        <v>333</v>
      </c>
      <c r="B622" s="180">
        <v>752</v>
      </c>
      <c r="C622" s="180" t="s">
        <v>1570</v>
      </c>
      <c r="D622" s="180" t="s">
        <v>655</v>
      </c>
      <c r="E622" s="180">
        <v>2021</v>
      </c>
      <c r="F622" s="180"/>
      <c r="G622" s="180" t="s">
        <v>1571</v>
      </c>
      <c r="H622" s="180" t="s">
        <v>376</v>
      </c>
      <c r="I622" s="180"/>
      <c r="J622" s="170" t="s">
        <v>1911</v>
      </c>
      <c r="K622" s="180"/>
      <c r="L622" s="180"/>
      <c r="M622" s="180"/>
      <c r="N622" s="180"/>
      <c r="O622" s="180"/>
    </row>
    <row r="623" spans="1:15" ht="16" x14ac:dyDescent="0.2">
      <c r="A623" s="180" t="s">
        <v>333</v>
      </c>
      <c r="B623" s="180">
        <v>753</v>
      </c>
      <c r="C623" s="180" t="s">
        <v>1572</v>
      </c>
      <c r="D623" s="180" t="s">
        <v>989</v>
      </c>
      <c r="E623" s="180">
        <v>2014</v>
      </c>
      <c r="F623" s="180"/>
      <c r="G623" s="180" t="s">
        <v>1573</v>
      </c>
      <c r="H623" s="180" t="s">
        <v>376</v>
      </c>
      <c r="I623" s="180"/>
      <c r="J623" s="180"/>
      <c r="K623" s="180"/>
      <c r="L623" s="180"/>
      <c r="M623" s="180"/>
      <c r="N623" s="180"/>
      <c r="O623" s="180"/>
    </row>
    <row r="624" spans="1:15" ht="16" x14ac:dyDescent="0.2">
      <c r="A624" s="180" t="s">
        <v>333</v>
      </c>
      <c r="B624" s="180">
        <v>754</v>
      </c>
      <c r="C624" s="180" t="s">
        <v>1574</v>
      </c>
      <c r="D624" s="180" t="s">
        <v>986</v>
      </c>
      <c r="E624" s="180">
        <v>2018</v>
      </c>
      <c r="F624" s="180"/>
      <c r="G624" s="180" t="s">
        <v>1575</v>
      </c>
      <c r="H624" s="180" t="s">
        <v>376</v>
      </c>
      <c r="I624" s="180"/>
      <c r="J624" s="180"/>
      <c r="K624" s="180"/>
      <c r="L624" s="180"/>
      <c r="M624" s="180"/>
      <c r="N624" s="180"/>
      <c r="O624" s="180"/>
    </row>
    <row r="625" spans="1:15" ht="16" x14ac:dyDescent="0.2">
      <c r="A625" s="180" t="s">
        <v>333</v>
      </c>
      <c r="B625" s="180">
        <v>755</v>
      </c>
      <c r="C625" s="180" t="s">
        <v>1576</v>
      </c>
      <c r="D625" s="180" t="s">
        <v>1577</v>
      </c>
      <c r="E625" s="180">
        <v>32</v>
      </c>
      <c r="F625" s="180"/>
      <c r="G625" s="180" t="s">
        <v>1578</v>
      </c>
      <c r="H625" s="180" t="s">
        <v>376</v>
      </c>
      <c r="I625" s="180"/>
      <c r="J625" s="180"/>
      <c r="K625" s="180"/>
      <c r="L625" s="180"/>
      <c r="M625" s="180"/>
      <c r="N625" s="180"/>
      <c r="O625" s="180"/>
    </row>
    <row r="626" spans="1:15" ht="16" x14ac:dyDescent="0.2">
      <c r="A626" s="180" t="s">
        <v>333</v>
      </c>
      <c r="B626" s="180">
        <v>756</v>
      </c>
      <c r="C626" s="180" t="s">
        <v>1579</v>
      </c>
      <c r="D626" s="180" t="s">
        <v>1580</v>
      </c>
      <c r="E626" s="180">
        <v>40.1</v>
      </c>
      <c r="F626" s="180"/>
      <c r="G626" s="180" t="s">
        <v>1581</v>
      </c>
      <c r="H626" s="180" t="s">
        <v>376</v>
      </c>
      <c r="I626" s="180"/>
      <c r="J626" s="180"/>
      <c r="K626" s="180"/>
      <c r="L626" s="180"/>
      <c r="M626" s="180"/>
      <c r="N626" s="180"/>
      <c r="O626" s="180"/>
    </row>
    <row r="627" spans="1:15" ht="16" x14ac:dyDescent="0.2">
      <c r="A627" s="180" t="s">
        <v>333</v>
      </c>
      <c r="B627" s="180">
        <v>757</v>
      </c>
      <c r="C627" s="180" t="s">
        <v>1582</v>
      </c>
      <c r="D627" s="180" t="s">
        <v>1583</v>
      </c>
      <c r="E627" s="180">
        <v>30.8</v>
      </c>
      <c r="F627" s="180"/>
      <c r="G627" s="180" t="s">
        <v>1584</v>
      </c>
      <c r="H627" s="180" t="s">
        <v>376</v>
      </c>
      <c r="I627" s="180"/>
      <c r="J627" s="180"/>
      <c r="K627" s="180"/>
      <c r="L627" s="180"/>
      <c r="M627" s="180"/>
      <c r="N627" s="180"/>
      <c r="O627" s="180"/>
    </row>
    <row r="628" spans="1:15" ht="16" x14ac:dyDescent="0.2">
      <c r="A628" s="180" t="s">
        <v>333</v>
      </c>
      <c r="B628" s="180">
        <v>758</v>
      </c>
      <c r="C628" s="180" t="s">
        <v>546</v>
      </c>
      <c r="D628" s="180" t="s">
        <v>349</v>
      </c>
      <c r="E628" s="180">
        <v>2020</v>
      </c>
      <c r="F628" s="180"/>
      <c r="G628" s="180" t="s">
        <v>1585</v>
      </c>
      <c r="H628" s="180" t="s">
        <v>376</v>
      </c>
      <c r="I628" s="180"/>
      <c r="J628" s="180"/>
      <c r="K628" s="180"/>
      <c r="L628" s="180"/>
      <c r="M628" s="180"/>
      <c r="N628" s="180"/>
      <c r="O628" s="180"/>
    </row>
    <row r="629" spans="1:15" ht="16" x14ac:dyDescent="0.2">
      <c r="A629" s="180" t="s">
        <v>333</v>
      </c>
      <c r="B629" s="180">
        <v>759</v>
      </c>
      <c r="C629" s="180" t="s">
        <v>1586</v>
      </c>
      <c r="D629" s="180" t="s">
        <v>1587</v>
      </c>
      <c r="E629" s="180">
        <v>13.3</v>
      </c>
      <c r="F629" s="186">
        <f>BackgroundInfo1!$C$32/(BackgroundInfo1!$C$32+BackgroundInfo1!$C$33)</f>
        <v>0.13346727898966704</v>
      </c>
      <c r="G629" s="180" t="s">
        <v>1588</v>
      </c>
      <c r="H629" s="180" t="s">
        <v>376</v>
      </c>
      <c r="I629" s="180"/>
      <c r="J629" s="180"/>
      <c r="K629" s="180"/>
      <c r="L629" s="180"/>
      <c r="M629" s="180"/>
      <c r="N629" s="180"/>
      <c r="O629" s="180"/>
    </row>
    <row r="630" spans="1:15" ht="16" x14ac:dyDescent="0.2">
      <c r="A630" s="180" t="s">
        <v>333</v>
      </c>
      <c r="B630" s="180">
        <v>760</v>
      </c>
      <c r="C630" s="180" t="s">
        <v>1589</v>
      </c>
      <c r="D630" s="180" t="s">
        <v>633</v>
      </c>
      <c r="E630" s="180">
        <v>24</v>
      </c>
      <c r="F630" s="183">
        <f>BackgroundInfo1!$B$10</f>
        <v>0.23988464746434321</v>
      </c>
      <c r="G630" s="180" t="s">
        <v>1590</v>
      </c>
      <c r="H630" s="180" t="s">
        <v>376</v>
      </c>
      <c r="I630" s="180"/>
      <c r="J630" s="180"/>
      <c r="K630" s="180"/>
      <c r="L630" s="180"/>
      <c r="M630" s="180"/>
      <c r="N630" s="180"/>
      <c r="O630" s="180"/>
    </row>
    <row r="631" spans="1:15" ht="16" x14ac:dyDescent="0.2">
      <c r="A631" s="180" t="s">
        <v>333</v>
      </c>
      <c r="B631" s="180">
        <v>761</v>
      </c>
      <c r="C631" s="180" t="s">
        <v>1591</v>
      </c>
      <c r="D631" s="180" t="s">
        <v>1587</v>
      </c>
      <c r="E631" s="180">
        <v>13.3</v>
      </c>
      <c r="F631" s="180">
        <f>E629</f>
        <v>13.3</v>
      </c>
      <c r="G631" s="180" t="s">
        <v>1592</v>
      </c>
      <c r="H631" s="180" t="s">
        <v>376</v>
      </c>
      <c r="I631" s="180"/>
      <c r="J631" s="180"/>
      <c r="K631" s="180"/>
      <c r="L631" s="180"/>
      <c r="M631" s="180"/>
      <c r="N631" s="180"/>
      <c r="O631" s="180"/>
    </row>
    <row r="632" spans="1:15" ht="16" x14ac:dyDescent="0.2">
      <c r="A632" s="180" t="s">
        <v>333</v>
      </c>
      <c r="B632" s="180">
        <v>762</v>
      </c>
      <c r="C632" s="180" t="s">
        <v>1593</v>
      </c>
      <c r="D632" s="180" t="s">
        <v>462</v>
      </c>
      <c r="E632" s="180">
        <v>10.1</v>
      </c>
      <c r="F632" s="197">
        <f>F629*(1-F630)</f>
        <v>0.10145052782120562</v>
      </c>
      <c r="G632" s="180" t="s">
        <v>1594</v>
      </c>
      <c r="H632" s="180" t="s">
        <v>376</v>
      </c>
      <c r="I632" s="180"/>
      <c r="J632" s="180"/>
      <c r="K632" s="180"/>
      <c r="L632" s="180"/>
      <c r="M632" s="180"/>
      <c r="N632" s="180"/>
      <c r="O632" s="180"/>
    </row>
    <row r="633" spans="1:15" ht="16" x14ac:dyDescent="0.2">
      <c r="A633" s="180" t="s">
        <v>333</v>
      </c>
      <c r="B633" s="180">
        <v>763</v>
      </c>
      <c r="C633" s="180" t="s">
        <v>1595</v>
      </c>
      <c r="D633" s="180" t="s">
        <v>601</v>
      </c>
      <c r="E633" s="180">
        <v>2019</v>
      </c>
      <c r="F633" s="180"/>
      <c r="G633" s="180" t="s">
        <v>1596</v>
      </c>
      <c r="H633" s="180" t="s">
        <v>376</v>
      </c>
      <c r="I633" s="180"/>
      <c r="J633" s="180"/>
      <c r="K633" s="180"/>
      <c r="L633" s="180"/>
      <c r="M633" s="180"/>
      <c r="N633" s="180"/>
      <c r="O633" s="180"/>
    </row>
    <row r="634" spans="1:15" ht="16" x14ac:dyDescent="0.2">
      <c r="A634" s="180" t="s">
        <v>333</v>
      </c>
      <c r="B634" s="180">
        <v>764</v>
      </c>
      <c r="C634" s="180" t="s">
        <v>1597</v>
      </c>
      <c r="D634" s="180" t="s">
        <v>1598</v>
      </c>
      <c r="E634" s="180">
        <v>968</v>
      </c>
      <c r="F634" s="180"/>
      <c r="G634" s="180" t="s">
        <v>1599</v>
      </c>
      <c r="H634" s="180" t="s">
        <v>376</v>
      </c>
      <c r="I634" s="180" t="s">
        <v>1912</v>
      </c>
      <c r="J634" s="180" t="s">
        <v>292</v>
      </c>
      <c r="K634" s="180"/>
      <c r="L634" s="180"/>
      <c r="M634" s="180"/>
      <c r="N634" s="180"/>
      <c r="O634" s="180"/>
    </row>
    <row r="635" spans="1:15" ht="16" x14ac:dyDescent="0.2">
      <c r="A635" s="180" t="s">
        <v>333</v>
      </c>
      <c r="B635" s="180">
        <v>765</v>
      </c>
      <c r="C635" s="180" t="s">
        <v>1600</v>
      </c>
      <c r="D635" s="180" t="s">
        <v>1601</v>
      </c>
      <c r="E635" s="180">
        <v>12.1</v>
      </c>
      <c r="F635" s="180"/>
      <c r="G635" s="180" t="s">
        <v>693</v>
      </c>
      <c r="H635" s="180" t="s">
        <v>376</v>
      </c>
      <c r="I635" s="180" t="s">
        <v>1913</v>
      </c>
      <c r="J635" s="180" t="s">
        <v>292</v>
      </c>
      <c r="K635" s="180"/>
      <c r="L635" s="180"/>
      <c r="M635" s="180"/>
      <c r="N635" s="180"/>
      <c r="O635" s="180"/>
    </row>
    <row r="636" spans="1:15" ht="16" x14ac:dyDescent="0.2">
      <c r="A636" s="180" t="s">
        <v>333</v>
      </c>
      <c r="B636" s="180">
        <v>766</v>
      </c>
      <c r="C636" s="180" t="s">
        <v>1602</v>
      </c>
      <c r="D636" s="180" t="s">
        <v>1603</v>
      </c>
      <c r="E636" s="180">
        <v>0.08</v>
      </c>
      <c r="F636" s="180">
        <f>E634*0.001/E635</f>
        <v>0.08</v>
      </c>
      <c r="G636" s="180" t="s">
        <v>1604</v>
      </c>
      <c r="H636" s="180" t="s">
        <v>376</v>
      </c>
      <c r="I636" s="180"/>
      <c r="J636" s="180"/>
      <c r="K636" s="180"/>
      <c r="L636" s="180"/>
      <c r="M636" s="180"/>
      <c r="N636" s="180"/>
      <c r="O636" s="180"/>
    </row>
    <row r="637" spans="1:15" ht="16" x14ac:dyDescent="0.2">
      <c r="A637" s="180" t="s">
        <v>333</v>
      </c>
      <c r="B637" s="180">
        <v>767</v>
      </c>
      <c r="C637" s="180" t="s">
        <v>1605</v>
      </c>
      <c r="D637" s="180" t="s">
        <v>396</v>
      </c>
      <c r="E637" s="180">
        <v>15</v>
      </c>
      <c r="F637" s="183">
        <f>BackgroundInfo1!$B$6</f>
        <v>0.14507042060364594</v>
      </c>
      <c r="G637" s="180" t="s">
        <v>1606</v>
      </c>
      <c r="H637" s="180" t="s">
        <v>376</v>
      </c>
      <c r="I637" s="180"/>
      <c r="J637" s="180"/>
      <c r="K637" s="180"/>
      <c r="L637" s="180"/>
      <c r="M637" s="180"/>
      <c r="N637" s="180"/>
      <c r="O637" s="180"/>
    </row>
    <row r="638" spans="1:15" ht="16" x14ac:dyDescent="0.2">
      <c r="A638" s="180" t="s">
        <v>333</v>
      </c>
      <c r="B638" s="180">
        <v>768</v>
      </c>
      <c r="C638" s="180" t="s">
        <v>1607</v>
      </c>
      <c r="D638" s="180" t="s">
        <v>641</v>
      </c>
      <c r="E638" s="180">
        <v>90</v>
      </c>
      <c r="F638" s="190">
        <f>$F$135</f>
        <v>0.9</v>
      </c>
      <c r="G638" s="180" t="s">
        <v>343</v>
      </c>
      <c r="H638" s="180" t="s">
        <v>376</v>
      </c>
      <c r="I638" s="180"/>
      <c r="J638" s="180"/>
      <c r="K638" s="180"/>
      <c r="L638" s="180"/>
      <c r="M638" s="180"/>
      <c r="N638" s="180"/>
      <c r="O638" s="180"/>
    </row>
    <row r="639" spans="1:15" ht="16" x14ac:dyDescent="0.2">
      <c r="A639" s="180" t="s">
        <v>365</v>
      </c>
      <c r="B639" s="180">
        <v>769</v>
      </c>
      <c r="C639" s="180"/>
      <c r="D639" s="180" t="s">
        <v>396</v>
      </c>
      <c r="E639" s="180">
        <v>15</v>
      </c>
      <c r="F639" s="183">
        <f>BackgroundInfo1!$B$6</f>
        <v>0.14507042060364594</v>
      </c>
      <c r="G639" s="180" t="s">
        <v>1608</v>
      </c>
      <c r="H639" s="180" t="s">
        <v>376</v>
      </c>
      <c r="I639" s="180"/>
      <c r="J639" s="180"/>
      <c r="K639" s="180"/>
      <c r="L639" s="180"/>
      <c r="M639" s="180"/>
      <c r="N639" s="180"/>
      <c r="O639" s="180"/>
    </row>
    <row r="640" spans="1:15" ht="16" x14ac:dyDescent="0.2">
      <c r="A640" s="180" t="s">
        <v>333</v>
      </c>
      <c r="B640" s="180">
        <v>770</v>
      </c>
      <c r="C640" s="180" t="s">
        <v>1609</v>
      </c>
      <c r="D640" s="180" t="s">
        <v>349</v>
      </c>
      <c r="E640" s="180">
        <v>2020</v>
      </c>
      <c r="F640" s="180"/>
      <c r="G640" s="180" t="s">
        <v>1610</v>
      </c>
      <c r="H640" s="180" t="s">
        <v>376</v>
      </c>
      <c r="I640" s="180"/>
      <c r="J640" s="180"/>
      <c r="K640" s="180"/>
      <c r="L640" s="180"/>
      <c r="M640" s="180"/>
      <c r="N640" s="180"/>
      <c r="O640" s="180"/>
    </row>
    <row r="641" spans="1:15" ht="16" x14ac:dyDescent="0.2">
      <c r="A641" s="180" t="s">
        <v>333</v>
      </c>
      <c r="B641" s="180">
        <v>771</v>
      </c>
      <c r="C641" s="180" t="s">
        <v>1611</v>
      </c>
      <c r="D641" s="180" t="s">
        <v>352</v>
      </c>
      <c r="E641" s="180">
        <v>2022</v>
      </c>
      <c r="F641" s="180"/>
      <c r="G641" s="180" t="s">
        <v>389</v>
      </c>
      <c r="H641" s="180" t="s">
        <v>376</v>
      </c>
      <c r="I641" s="180"/>
      <c r="J641" s="180"/>
      <c r="K641" s="180"/>
      <c r="L641" s="180"/>
      <c r="M641" s="180"/>
      <c r="N641" s="180"/>
      <c r="O641" s="180"/>
    </row>
    <row r="642" spans="1:15" ht="16" x14ac:dyDescent="0.2">
      <c r="A642" s="180" t="s">
        <v>451</v>
      </c>
      <c r="B642" s="180">
        <v>772</v>
      </c>
      <c r="C642" s="180" t="s">
        <v>1612</v>
      </c>
      <c r="D642" s="180" t="s">
        <v>378</v>
      </c>
      <c r="E642" s="180">
        <v>1</v>
      </c>
      <c r="F642" s="180"/>
      <c r="G642" s="180" t="s">
        <v>1613</v>
      </c>
      <c r="H642" s="180" t="s">
        <v>376</v>
      </c>
      <c r="I642" s="180"/>
      <c r="J642" s="180"/>
      <c r="K642" s="180"/>
      <c r="L642" s="180"/>
      <c r="M642" s="180"/>
      <c r="N642" s="180"/>
      <c r="O642" s="180"/>
    </row>
    <row r="643" spans="1:15" ht="16" x14ac:dyDescent="0.2">
      <c r="A643" s="180" t="s">
        <v>333</v>
      </c>
      <c r="B643" s="180">
        <v>773</v>
      </c>
      <c r="C643" s="180" t="s">
        <v>1614</v>
      </c>
      <c r="D643" s="180" t="s">
        <v>347</v>
      </c>
      <c r="E643" s="180">
        <v>2</v>
      </c>
      <c r="F643" s="180"/>
      <c r="G643" s="180" t="s">
        <v>1615</v>
      </c>
      <c r="H643" s="180" t="s">
        <v>376</v>
      </c>
      <c r="I643" s="180"/>
      <c r="J643" s="180"/>
      <c r="K643" s="180"/>
      <c r="L643" s="180"/>
      <c r="M643" s="180"/>
      <c r="N643" s="180"/>
      <c r="O643" s="180"/>
    </row>
    <row r="644" spans="1:15" ht="16" x14ac:dyDescent="0.2">
      <c r="A644" s="180" t="s">
        <v>451</v>
      </c>
      <c r="B644" s="180">
        <v>775</v>
      </c>
      <c r="C644" s="180" t="s">
        <v>1616</v>
      </c>
      <c r="D644" s="180" t="s">
        <v>378</v>
      </c>
      <c r="E644" s="180">
        <v>1</v>
      </c>
      <c r="F644" s="180"/>
      <c r="G644" s="180" t="s">
        <v>1617</v>
      </c>
      <c r="H644" s="180" t="s">
        <v>376</v>
      </c>
      <c r="I644" s="180"/>
      <c r="J644" s="180"/>
      <c r="K644" s="180"/>
      <c r="L644" s="180"/>
      <c r="M644" s="180"/>
      <c r="N644" s="180"/>
      <c r="O644" s="180"/>
    </row>
    <row r="645" spans="1:15" ht="16" x14ac:dyDescent="0.2">
      <c r="A645" s="180" t="s">
        <v>451</v>
      </c>
      <c r="B645" s="180">
        <v>777</v>
      </c>
      <c r="C645" s="180" t="s">
        <v>1914</v>
      </c>
      <c r="D645" s="180" t="s">
        <v>378</v>
      </c>
      <c r="E645" s="180">
        <v>1</v>
      </c>
      <c r="F645" s="180"/>
      <c r="G645" s="180" t="s">
        <v>1618</v>
      </c>
      <c r="H645" s="180" t="s">
        <v>376</v>
      </c>
      <c r="I645" s="180"/>
      <c r="J645" s="180"/>
      <c r="K645" s="180"/>
      <c r="L645" s="180"/>
      <c r="M645" s="180"/>
      <c r="N645" s="180"/>
      <c r="O645" s="180"/>
    </row>
    <row r="646" spans="1:15" ht="16" x14ac:dyDescent="0.2">
      <c r="A646" s="180" t="s">
        <v>451</v>
      </c>
      <c r="B646" s="180">
        <v>778</v>
      </c>
      <c r="C646" s="180" t="s">
        <v>1915</v>
      </c>
      <c r="D646" s="180" t="s">
        <v>378</v>
      </c>
      <c r="E646" s="180">
        <v>1</v>
      </c>
      <c r="F646" s="180"/>
      <c r="G646" s="180" t="s">
        <v>1619</v>
      </c>
      <c r="H646" s="180" t="s">
        <v>376</v>
      </c>
      <c r="I646" s="180"/>
      <c r="J646" s="180"/>
      <c r="K646" s="180"/>
      <c r="L646" s="180"/>
      <c r="M646" s="180"/>
      <c r="N646" s="180"/>
      <c r="O646" s="180"/>
    </row>
    <row r="647" spans="1:15" ht="16" x14ac:dyDescent="0.2">
      <c r="A647" s="180" t="s">
        <v>333</v>
      </c>
      <c r="B647" s="180">
        <v>779</v>
      </c>
      <c r="C647" s="180" t="s">
        <v>1916</v>
      </c>
      <c r="D647" s="180" t="s">
        <v>993</v>
      </c>
      <c r="E647" s="180">
        <v>4</v>
      </c>
      <c r="F647" s="180"/>
      <c r="G647" s="180" t="s">
        <v>523</v>
      </c>
      <c r="H647" s="180" t="s">
        <v>376</v>
      </c>
      <c r="I647" s="180"/>
      <c r="J647" s="180"/>
      <c r="K647" s="180"/>
      <c r="L647" s="180"/>
      <c r="M647" s="180"/>
      <c r="N647" s="180"/>
      <c r="O647" s="180"/>
    </row>
    <row r="648" spans="1:15" ht="16" x14ac:dyDescent="0.2">
      <c r="A648" s="180" t="s">
        <v>451</v>
      </c>
      <c r="B648" s="180">
        <v>780</v>
      </c>
      <c r="C648" s="180" t="s">
        <v>1917</v>
      </c>
      <c r="D648" s="180" t="s">
        <v>525</v>
      </c>
      <c r="E648" s="180">
        <v>2</v>
      </c>
      <c r="F648" s="180"/>
      <c r="G648" s="180"/>
      <c r="H648" s="180" t="s">
        <v>376</v>
      </c>
      <c r="I648" s="180"/>
      <c r="J648" s="180"/>
      <c r="K648" s="180"/>
      <c r="L648" s="180"/>
      <c r="M648" s="180"/>
      <c r="N648" s="180"/>
      <c r="O648" s="180"/>
    </row>
    <row r="649" spans="1:15" ht="16" x14ac:dyDescent="0.2">
      <c r="A649" s="180" t="s">
        <v>451</v>
      </c>
      <c r="B649" s="180">
        <v>781</v>
      </c>
      <c r="C649" s="180" t="s">
        <v>1620</v>
      </c>
      <c r="D649" s="180" t="s">
        <v>342</v>
      </c>
      <c r="E649" s="180">
        <v>2</v>
      </c>
      <c r="F649" s="180"/>
      <c r="G649" s="180" t="s">
        <v>1621</v>
      </c>
      <c r="H649" s="180" t="s">
        <v>376</v>
      </c>
      <c r="I649" s="180"/>
      <c r="J649" s="180"/>
      <c r="K649" s="180"/>
      <c r="L649" s="180"/>
      <c r="M649" s="180"/>
      <c r="N649" s="180"/>
      <c r="O649" s="180"/>
    </row>
    <row r="650" spans="1:15" ht="16" x14ac:dyDescent="0.2">
      <c r="A650" s="180" t="s">
        <v>333</v>
      </c>
      <c r="B650" s="180">
        <v>782</v>
      </c>
      <c r="C650" s="180" t="s">
        <v>546</v>
      </c>
      <c r="D650" s="180" t="s">
        <v>352</v>
      </c>
      <c r="E650" s="180">
        <v>2022</v>
      </c>
      <c r="F650" s="180"/>
      <c r="G650" s="180" t="s">
        <v>1622</v>
      </c>
      <c r="H650" s="180" t="s">
        <v>376</v>
      </c>
      <c r="I650" s="180"/>
      <c r="J650" s="180"/>
      <c r="K650" s="180"/>
      <c r="L650" s="180"/>
      <c r="M650" s="180"/>
      <c r="N650" s="180"/>
      <c r="O650" s="180"/>
    </row>
    <row r="651" spans="1:15" ht="16" x14ac:dyDescent="0.2">
      <c r="A651" s="180" t="s">
        <v>333</v>
      </c>
      <c r="B651" s="180">
        <v>783</v>
      </c>
      <c r="C651" s="180" t="s">
        <v>1623</v>
      </c>
      <c r="D651" s="180" t="s">
        <v>1624</v>
      </c>
      <c r="E651" s="180">
        <v>2000</v>
      </c>
      <c r="F651" s="180"/>
      <c r="G651" s="180" t="s">
        <v>1625</v>
      </c>
      <c r="H651" s="180" t="s">
        <v>376</v>
      </c>
      <c r="I651" s="180"/>
      <c r="J651" s="180"/>
      <c r="K651" s="180"/>
      <c r="L651" s="180"/>
      <c r="M651" s="180"/>
      <c r="N651" s="180"/>
      <c r="O651" s="180"/>
    </row>
    <row r="652" spans="1:15" ht="16" x14ac:dyDescent="0.2">
      <c r="A652" s="180" t="s">
        <v>333</v>
      </c>
      <c r="B652" s="180">
        <v>784</v>
      </c>
      <c r="C652" s="180" t="s">
        <v>1626</v>
      </c>
      <c r="D652" s="180" t="s">
        <v>836</v>
      </c>
      <c r="E652" s="180">
        <v>25</v>
      </c>
      <c r="F652" s="180"/>
      <c r="G652" s="180" t="s">
        <v>1627</v>
      </c>
      <c r="H652" s="180" t="s">
        <v>376</v>
      </c>
      <c r="I652" s="180"/>
      <c r="J652" s="180" t="s">
        <v>1918</v>
      </c>
      <c r="K652" s="180"/>
      <c r="L652" s="180"/>
      <c r="M652" s="180"/>
      <c r="N652" s="180"/>
      <c r="O652" s="180"/>
    </row>
    <row r="653" spans="1:15" ht="16" x14ac:dyDescent="0.2">
      <c r="A653" s="180" t="s">
        <v>333</v>
      </c>
      <c r="B653" s="180">
        <v>785</v>
      </c>
      <c r="C653" s="180" t="s">
        <v>1628</v>
      </c>
      <c r="D653" s="180" t="s">
        <v>573</v>
      </c>
      <c r="E653" s="180">
        <v>84</v>
      </c>
      <c r="F653" s="180"/>
      <c r="G653" s="180" t="s">
        <v>1629</v>
      </c>
      <c r="H653" s="180" t="s">
        <v>376</v>
      </c>
      <c r="I653" s="180"/>
      <c r="J653" s="180"/>
      <c r="K653" s="180"/>
      <c r="L653" s="180"/>
      <c r="M653" s="180"/>
      <c r="N653" s="180"/>
      <c r="O653" s="180"/>
    </row>
    <row r="654" spans="1:15" ht="16" x14ac:dyDescent="0.2">
      <c r="A654" s="180" t="s">
        <v>333</v>
      </c>
      <c r="B654" s="180">
        <v>786</v>
      </c>
      <c r="C654" s="180" t="s">
        <v>1630</v>
      </c>
      <c r="D654" s="180" t="s">
        <v>1631</v>
      </c>
      <c r="E654" s="180">
        <v>2358</v>
      </c>
      <c r="F654" s="180"/>
      <c r="G654" s="180" t="s">
        <v>1632</v>
      </c>
      <c r="H654" s="180" t="s">
        <v>376</v>
      </c>
      <c r="I654" s="180"/>
      <c r="J654" s="180"/>
      <c r="K654" s="180"/>
      <c r="L654" s="180"/>
      <c r="M654" s="180"/>
      <c r="N654" s="180"/>
      <c r="O654" s="180"/>
    </row>
    <row r="655" spans="1:15" ht="16" x14ac:dyDescent="0.2">
      <c r="A655" s="180" t="s">
        <v>333</v>
      </c>
      <c r="B655" s="180">
        <v>787</v>
      </c>
      <c r="C655" s="180" t="s">
        <v>1633</v>
      </c>
      <c r="D655" s="180" t="s">
        <v>1634</v>
      </c>
      <c r="E655" s="180">
        <v>19.600000000000001</v>
      </c>
      <c r="F655" s="180"/>
      <c r="G655" s="180" t="s">
        <v>1635</v>
      </c>
      <c r="H655" s="180" t="s">
        <v>376</v>
      </c>
      <c r="I655" s="180"/>
      <c r="J655" s="180" t="s">
        <v>1918</v>
      </c>
      <c r="K655" s="180"/>
      <c r="L655" s="180"/>
      <c r="M655" s="180"/>
      <c r="N655" s="180"/>
      <c r="O655" s="180"/>
    </row>
    <row r="656" spans="1:15" ht="16" x14ac:dyDescent="0.2">
      <c r="A656" s="180" t="s">
        <v>451</v>
      </c>
      <c r="B656" s="180">
        <v>788</v>
      </c>
      <c r="C656" s="180" t="s">
        <v>1636</v>
      </c>
      <c r="D656" s="180" t="s">
        <v>342</v>
      </c>
      <c r="E656" s="180">
        <v>2</v>
      </c>
      <c r="F656" s="180"/>
      <c r="G656" s="180" t="s">
        <v>1637</v>
      </c>
      <c r="H656" s="180" t="s">
        <v>376</v>
      </c>
      <c r="I656" s="180"/>
      <c r="J656" s="180"/>
      <c r="K656" s="180"/>
      <c r="L656" s="180"/>
      <c r="M656" s="180"/>
      <c r="N656" s="180"/>
      <c r="O656" s="180"/>
    </row>
    <row r="657" spans="1:15" ht="16" x14ac:dyDescent="0.2">
      <c r="A657" s="180" t="s">
        <v>451</v>
      </c>
      <c r="B657" s="180">
        <v>789</v>
      </c>
      <c r="C657" s="180" t="s">
        <v>1638</v>
      </c>
      <c r="D657" s="180" t="s">
        <v>342</v>
      </c>
      <c r="E657" s="180">
        <v>2</v>
      </c>
      <c r="F657" s="180"/>
      <c r="G657" s="180" t="s">
        <v>1639</v>
      </c>
      <c r="H657" s="180" t="s">
        <v>376</v>
      </c>
      <c r="I657" s="180"/>
      <c r="J657" s="180"/>
      <c r="K657" s="180"/>
      <c r="L657" s="180"/>
      <c r="M657" s="180"/>
      <c r="N657" s="180"/>
      <c r="O657" s="180"/>
    </row>
    <row r="658" spans="1:15" ht="16" x14ac:dyDescent="0.2">
      <c r="A658" s="180" t="s">
        <v>333</v>
      </c>
      <c r="B658" s="180">
        <v>790</v>
      </c>
      <c r="C658" s="180" t="s">
        <v>1640</v>
      </c>
      <c r="D658" s="180" t="s">
        <v>561</v>
      </c>
      <c r="E658" s="180">
        <v>17</v>
      </c>
      <c r="F658" s="183">
        <f>Tables12!$N$14</f>
        <v>0.16948106530672558</v>
      </c>
      <c r="G658" s="180" t="s">
        <v>1641</v>
      </c>
      <c r="H658" s="180" t="s">
        <v>376</v>
      </c>
      <c r="I658" s="180"/>
      <c r="J658" s="180"/>
      <c r="K658" s="180"/>
      <c r="L658" s="180"/>
      <c r="M658" s="180"/>
      <c r="N658" s="180"/>
      <c r="O658" s="180"/>
    </row>
    <row r="659" spans="1:15" ht="16" x14ac:dyDescent="0.2">
      <c r="A659" s="180" t="s">
        <v>333</v>
      </c>
      <c r="B659" s="180">
        <v>791</v>
      </c>
      <c r="C659" s="180" t="s">
        <v>1642</v>
      </c>
      <c r="D659" s="180" t="s">
        <v>344</v>
      </c>
      <c r="E659" s="180"/>
      <c r="F659" s="180"/>
      <c r="G659" s="180" t="s">
        <v>1643</v>
      </c>
      <c r="H659" s="180" t="s">
        <v>376</v>
      </c>
      <c r="I659" s="180"/>
      <c r="J659" s="180"/>
      <c r="K659" s="180"/>
      <c r="L659" s="180"/>
      <c r="M659" s="180"/>
      <c r="N659" s="180"/>
      <c r="O659" s="180"/>
    </row>
    <row r="660" spans="1:15" ht="16" x14ac:dyDescent="0.2">
      <c r="A660" s="180" t="s">
        <v>451</v>
      </c>
      <c r="B660" s="180">
        <v>792</v>
      </c>
      <c r="C660" s="180" t="s">
        <v>1644</v>
      </c>
      <c r="D660" s="180" t="s">
        <v>378</v>
      </c>
      <c r="E660" s="180">
        <v>1</v>
      </c>
      <c r="F660" s="180"/>
      <c r="G660" s="180" t="s">
        <v>1645</v>
      </c>
      <c r="H660" s="180" t="s">
        <v>376</v>
      </c>
      <c r="I660" s="180"/>
      <c r="J660" s="180"/>
      <c r="K660" s="180"/>
      <c r="L660" s="180"/>
      <c r="M660" s="180"/>
      <c r="N660" s="180"/>
      <c r="O660" s="180"/>
    </row>
    <row r="661" spans="1:15" ht="16" x14ac:dyDescent="0.2">
      <c r="A661" s="180" t="s">
        <v>333</v>
      </c>
      <c r="B661" s="180">
        <v>793</v>
      </c>
      <c r="C661" s="180" t="s">
        <v>1646</v>
      </c>
      <c r="D661" s="180" t="s">
        <v>347</v>
      </c>
      <c r="E661" s="180">
        <v>2</v>
      </c>
      <c r="F661" s="180"/>
      <c r="G661" s="180" t="s">
        <v>1647</v>
      </c>
      <c r="H661" s="180" t="s">
        <v>376</v>
      </c>
      <c r="I661" s="180"/>
      <c r="J661" s="180"/>
      <c r="K661" s="180"/>
      <c r="L661" s="180"/>
      <c r="M661" s="180"/>
      <c r="N661" s="180"/>
      <c r="O661" s="180"/>
    </row>
    <row r="662" spans="1:15" ht="16" x14ac:dyDescent="0.2">
      <c r="A662" s="180" t="s">
        <v>333</v>
      </c>
      <c r="B662" s="180">
        <v>794</v>
      </c>
      <c r="C662" s="180" t="s">
        <v>1648</v>
      </c>
      <c r="D662" s="180" t="s">
        <v>364</v>
      </c>
      <c r="E662" s="180">
        <v>1</v>
      </c>
      <c r="F662" s="180"/>
      <c r="G662" s="180" t="s">
        <v>1649</v>
      </c>
      <c r="H662" s="180" t="s">
        <v>376</v>
      </c>
      <c r="I662" s="180"/>
      <c r="J662" s="180"/>
      <c r="K662" s="180"/>
      <c r="L662" s="180"/>
      <c r="M662" s="180"/>
      <c r="N662" s="180"/>
      <c r="O662" s="180"/>
    </row>
    <row r="663" spans="1:15" ht="16" x14ac:dyDescent="0.2">
      <c r="A663" s="180" t="s">
        <v>333</v>
      </c>
      <c r="B663" s="180">
        <v>795</v>
      </c>
      <c r="C663" s="180" t="s">
        <v>1650</v>
      </c>
      <c r="D663" s="180" t="s">
        <v>601</v>
      </c>
      <c r="E663" s="180">
        <v>2019</v>
      </c>
      <c r="F663" s="180"/>
      <c r="G663" s="180" t="s">
        <v>1651</v>
      </c>
      <c r="H663" s="180" t="s">
        <v>376</v>
      </c>
      <c r="I663" s="180"/>
      <c r="J663" s="180"/>
      <c r="K663" s="180"/>
      <c r="L663" s="180"/>
      <c r="M663" s="180"/>
      <c r="N663" s="180"/>
      <c r="O663" s="180"/>
    </row>
    <row r="664" spans="1:15" ht="16" x14ac:dyDescent="0.2">
      <c r="A664" s="180" t="s">
        <v>1454</v>
      </c>
      <c r="B664" s="180">
        <v>796</v>
      </c>
      <c r="C664" s="180" t="s">
        <v>1652</v>
      </c>
      <c r="D664" s="180" t="s">
        <v>1181</v>
      </c>
      <c r="E664" s="180">
        <v>13</v>
      </c>
      <c r="F664" s="180"/>
      <c r="G664" s="180" t="s">
        <v>389</v>
      </c>
      <c r="H664" s="180" t="s">
        <v>376</v>
      </c>
      <c r="I664" s="180"/>
      <c r="J664" s="180"/>
      <c r="K664" s="180"/>
      <c r="L664" s="180"/>
      <c r="M664" s="180"/>
      <c r="N664" s="180"/>
      <c r="O664" s="180"/>
    </row>
    <row r="665" spans="1:15" ht="16" x14ac:dyDescent="0.2">
      <c r="A665" s="180" t="s">
        <v>333</v>
      </c>
      <c r="B665" s="180">
        <v>797</v>
      </c>
      <c r="C665" s="180" t="s">
        <v>1653</v>
      </c>
      <c r="D665" s="180" t="s">
        <v>886</v>
      </c>
      <c r="E665" s="180">
        <v>1996</v>
      </c>
      <c r="F665" s="180"/>
      <c r="G665" s="180" t="s">
        <v>1654</v>
      </c>
      <c r="H665" s="180" t="s">
        <v>376</v>
      </c>
      <c r="I665" s="180"/>
      <c r="J665" s="180"/>
      <c r="K665" s="180"/>
      <c r="L665" s="180"/>
      <c r="M665" s="180"/>
      <c r="N665" s="180"/>
      <c r="O665" s="180"/>
    </row>
    <row r="666" spans="1:15" ht="16" x14ac:dyDescent="0.2">
      <c r="A666" s="180" t="s">
        <v>333</v>
      </c>
      <c r="B666" s="180">
        <v>798</v>
      </c>
      <c r="C666" s="180" t="s">
        <v>1655</v>
      </c>
      <c r="D666" s="180" t="s">
        <v>836</v>
      </c>
      <c r="E666" s="180">
        <v>25</v>
      </c>
      <c r="F666" s="180"/>
      <c r="G666" s="180" t="s">
        <v>889</v>
      </c>
      <c r="H666" s="180" t="s">
        <v>376</v>
      </c>
      <c r="I666" s="180"/>
      <c r="J666" s="180" t="s">
        <v>1863</v>
      </c>
      <c r="K666" s="180"/>
      <c r="L666" s="180"/>
      <c r="M666" s="180"/>
      <c r="N666" s="180"/>
      <c r="O666" s="180"/>
    </row>
    <row r="667" spans="1:15" ht="16" x14ac:dyDescent="0.2">
      <c r="A667" s="180" t="s">
        <v>739</v>
      </c>
      <c r="B667" s="180">
        <v>799</v>
      </c>
      <c r="C667" s="180" t="s">
        <v>890</v>
      </c>
      <c r="D667" s="180" t="s">
        <v>342</v>
      </c>
      <c r="E667" s="180">
        <v>2</v>
      </c>
      <c r="F667" s="180"/>
      <c r="G667" s="180" t="s">
        <v>891</v>
      </c>
      <c r="H667" s="180" t="s">
        <v>376</v>
      </c>
      <c r="I667" s="180"/>
      <c r="J667" s="180"/>
      <c r="K667" s="180"/>
      <c r="L667" s="180"/>
      <c r="M667" s="180"/>
      <c r="N667" s="180"/>
      <c r="O667" s="180"/>
    </row>
    <row r="668" spans="1:15" ht="16" x14ac:dyDescent="0.2">
      <c r="A668" s="180" t="s">
        <v>333</v>
      </c>
      <c r="B668" s="180">
        <v>800</v>
      </c>
      <c r="C668" s="180" t="s">
        <v>1656</v>
      </c>
      <c r="D668" s="180" t="s">
        <v>1310</v>
      </c>
      <c r="E668" s="180">
        <v>2003</v>
      </c>
      <c r="F668" s="180"/>
      <c r="G668" s="180" t="s">
        <v>1657</v>
      </c>
      <c r="H668" s="180" t="s">
        <v>376</v>
      </c>
      <c r="I668" s="180"/>
      <c r="J668" s="180"/>
      <c r="K668" s="180"/>
      <c r="L668" s="180"/>
      <c r="M668" s="180"/>
      <c r="N668" s="180"/>
      <c r="O668" s="180"/>
    </row>
    <row r="669" spans="1:15" ht="16" x14ac:dyDescent="0.2">
      <c r="A669" s="180" t="s">
        <v>373</v>
      </c>
      <c r="B669" s="180">
        <v>801</v>
      </c>
      <c r="C669" s="180" t="s">
        <v>1658</v>
      </c>
      <c r="D669" s="180" t="s">
        <v>378</v>
      </c>
      <c r="E669" s="180">
        <v>1</v>
      </c>
      <c r="F669" s="180"/>
      <c r="G669" s="180" t="s">
        <v>1659</v>
      </c>
      <c r="H669" s="180" t="s">
        <v>376</v>
      </c>
      <c r="I669" s="180"/>
      <c r="J669" s="180"/>
      <c r="K669" s="180"/>
      <c r="L669" s="180"/>
      <c r="M669" s="180"/>
      <c r="N669" s="180"/>
      <c r="O669" s="180"/>
    </row>
    <row r="670" spans="1:15" ht="16" x14ac:dyDescent="0.2">
      <c r="A670" s="180" t="s">
        <v>333</v>
      </c>
      <c r="B670" s="180">
        <v>802</v>
      </c>
      <c r="C670" s="180" t="s">
        <v>1660</v>
      </c>
      <c r="D670" s="180" t="s">
        <v>630</v>
      </c>
      <c r="E670" s="180">
        <v>9</v>
      </c>
      <c r="F670" s="180"/>
      <c r="G670" s="180" t="s">
        <v>1661</v>
      </c>
      <c r="H670" s="180" t="s">
        <v>376</v>
      </c>
      <c r="I670" s="180"/>
      <c r="J670" s="180" t="s">
        <v>1919</v>
      </c>
      <c r="K670" s="180"/>
      <c r="L670" s="180"/>
      <c r="M670" s="180"/>
      <c r="N670" s="180"/>
      <c r="O670" s="180"/>
    </row>
    <row r="671" spans="1:15" ht="16" x14ac:dyDescent="0.2">
      <c r="A671" s="180" t="s">
        <v>333</v>
      </c>
      <c r="B671" s="180">
        <v>803</v>
      </c>
      <c r="C671" s="180" t="s">
        <v>1662</v>
      </c>
      <c r="D671" s="180" t="s">
        <v>732</v>
      </c>
      <c r="E671" s="180">
        <v>87</v>
      </c>
      <c r="F671" s="180"/>
      <c r="G671" s="180" t="s">
        <v>1663</v>
      </c>
      <c r="H671" s="180" t="s">
        <v>376</v>
      </c>
      <c r="I671" s="180"/>
      <c r="J671" s="180"/>
      <c r="K671" s="180"/>
      <c r="L671" s="180"/>
      <c r="M671" s="180"/>
      <c r="N671" s="180"/>
      <c r="O671" s="180"/>
    </row>
    <row r="672" spans="1:15" ht="16" x14ac:dyDescent="0.2">
      <c r="A672" s="180" t="s">
        <v>333</v>
      </c>
      <c r="B672" s="180">
        <v>804</v>
      </c>
      <c r="C672" s="180" t="s">
        <v>1664</v>
      </c>
      <c r="D672" s="180" t="s">
        <v>1665</v>
      </c>
      <c r="E672" s="180">
        <v>27834</v>
      </c>
      <c r="F672" s="180"/>
      <c r="G672" s="180" t="s">
        <v>389</v>
      </c>
      <c r="H672" s="180" t="s">
        <v>376</v>
      </c>
      <c r="I672" s="180"/>
      <c r="J672" s="180"/>
      <c r="K672" s="180"/>
      <c r="L672" s="180"/>
      <c r="M672" s="180"/>
      <c r="N672" s="180"/>
      <c r="O672" s="180"/>
    </row>
    <row r="673" spans="1:15" ht="16" x14ac:dyDescent="0.2">
      <c r="A673" s="180" t="s">
        <v>333</v>
      </c>
      <c r="B673" s="180">
        <v>805</v>
      </c>
      <c r="C673" s="180" t="s">
        <v>1666</v>
      </c>
      <c r="D673" s="180" t="s">
        <v>910</v>
      </c>
      <c r="E673" s="180">
        <v>21</v>
      </c>
      <c r="F673" s="185">
        <f>0.01*E675*AVERAGE((1-0.265)*183,(1-0.283)*198.7)</f>
        <v>20.772967499999996</v>
      </c>
      <c r="G673" s="180" t="s">
        <v>1667</v>
      </c>
      <c r="H673" s="180" t="s">
        <v>376</v>
      </c>
      <c r="I673" s="180"/>
      <c r="J673" s="180"/>
      <c r="K673" s="180"/>
      <c r="L673" s="180"/>
      <c r="M673" s="180"/>
      <c r="N673" s="180"/>
      <c r="O673" s="180"/>
    </row>
    <row r="674" spans="1:15" ht="16" x14ac:dyDescent="0.2">
      <c r="A674" s="180" t="s">
        <v>333</v>
      </c>
      <c r="B674" s="180">
        <v>806</v>
      </c>
      <c r="C674" s="180" t="s">
        <v>1668</v>
      </c>
      <c r="D674" s="180" t="s">
        <v>579</v>
      </c>
      <c r="E674" s="180">
        <v>2017</v>
      </c>
      <c r="F674" s="180"/>
      <c r="G674" s="180" t="s">
        <v>1669</v>
      </c>
      <c r="H674" s="180" t="s">
        <v>376</v>
      </c>
      <c r="I674" s="180"/>
      <c r="J674" s="180"/>
      <c r="K674" s="180"/>
      <c r="L674" s="180"/>
      <c r="M674" s="180"/>
      <c r="N674" s="180"/>
      <c r="O674" s="180"/>
    </row>
    <row r="675" spans="1:15" ht="16" x14ac:dyDescent="0.2">
      <c r="A675" s="180" t="s">
        <v>333</v>
      </c>
      <c r="B675" s="180">
        <v>807</v>
      </c>
      <c r="C675" s="180" t="s">
        <v>1670</v>
      </c>
      <c r="D675" s="180" t="s">
        <v>396</v>
      </c>
      <c r="E675" s="180">
        <v>15</v>
      </c>
      <c r="F675" s="180"/>
      <c r="G675" s="180" t="s">
        <v>1671</v>
      </c>
      <c r="H675" s="180" t="s">
        <v>376</v>
      </c>
      <c r="I675" s="180"/>
      <c r="J675" s="180" t="s">
        <v>166</v>
      </c>
      <c r="K675" s="180"/>
      <c r="L675" s="180"/>
      <c r="M675" s="180"/>
      <c r="N675" s="180"/>
      <c r="O675" s="180"/>
    </row>
    <row r="676" spans="1:15" ht="16" x14ac:dyDescent="0.2">
      <c r="A676" s="180" t="s">
        <v>333</v>
      </c>
      <c r="B676" s="180">
        <v>808</v>
      </c>
      <c r="C676" s="180" t="s">
        <v>1672</v>
      </c>
      <c r="D676" s="180" t="s">
        <v>404</v>
      </c>
      <c r="E676" s="180">
        <v>30</v>
      </c>
      <c r="F676" s="192">
        <f>BackgroundInfo1!$B$13</f>
        <v>0.29787253798337188</v>
      </c>
      <c r="G676" s="180" t="s">
        <v>1673</v>
      </c>
      <c r="H676" s="180" t="s">
        <v>376</v>
      </c>
      <c r="I676" s="180"/>
      <c r="J676" s="180"/>
      <c r="K676" s="180"/>
      <c r="L676" s="180"/>
      <c r="M676" s="180"/>
      <c r="N676" s="180"/>
      <c r="O676" s="180"/>
    </row>
    <row r="677" spans="1:15" ht="16" x14ac:dyDescent="0.2">
      <c r="A677" s="180" t="s">
        <v>333</v>
      </c>
      <c r="B677" s="180">
        <v>809</v>
      </c>
      <c r="C677" s="180" t="s">
        <v>1674</v>
      </c>
      <c r="D677" s="180" t="s">
        <v>630</v>
      </c>
      <c r="E677" s="180">
        <v>9</v>
      </c>
      <c r="F677" s="180"/>
      <c r="G677" s="180" t="s">
        <v>1675</v>
      </c>
      <c r="H677" s="180" t="s">
        <v>376</v>
      </c>
      <c r="I677" s="180"/>
      <c r="J677" s="180"/>
      <c r="K677" s="180"/>
      <c r="L677" s="180"/>
      <c r="M677" s="180"/>
      <c r="N677" s="180"/>
      <c r="O677" s="180"/>
    </row>
    <row r="678" spans="1:15" ht="16" x14ac:dyDescent="0.2">
      <c r="A678" s="180" t="s">
        <v>333</v>
      </c>
      <c r="B678" s="180">
        <v>810</v>
      </c>
      <c r="C678" s="180" t="s">
        <v>1676</v>
      </c>
      <c r="D678" s="180" t="s">
        <v>630</v>
      </c>
      <c r="E678" s="180">
        <v>9</v>
      </c>
      <c r="F678" s="180">
        <f>E670</f>
        <v>9</v>
      </c>
      <c r="G678" s="180" t="s">
        <v>1677</v>
      </c>
      <c r="H678" s="180" t="s">
        <v>376</v>
      </c>
      <c r="I678" s="180"/>
      <c r="J678" s="180"/>
      <c r="K678" s="180"/>
      <c r="L678" s="180"/>
      <c r="M678" s="180"/>
      <c r="N678" s="180"/>
      <c r="O678" s="180"/>
    </row>
    <row r="679" spans="1:15" ht="16" x14ac:dyDescent="0.2">
      <c r="A679" s="180" t="s">
        <v>333</v>
      </c>
      <c r="B679" s="180">
        <v>811</v>
      </c>
      <c r="C679" s="180" t="s">
        <v>1678</v>
      </c>
      <c r="D679" s="180" t="s">
        <v>1679</v>
      </c>
      <c r="E679" s="180">
        <v>21</v>
      </c>
      <c r="F679" s="180">
        <f>E673</f>
        <v>21</v>
      </c>
      <c r="G679" s="180" t="s">
        <v>389</v>
      </c>
      <c r="H679" s="180" t="s">
        <v>376</v>
      </c>
      <c r="I679" s="180"/>
      <c r="J679" s="180"/>
      <c r="K679" s="180"/>
      <c r="L679" s="180"/>
      <c r="M679" s="180"/>
      <c r="N679" s="180"/>
      <c r="O679" s="180"/>
    </row>
    <row r="680" spans="1:15" ht="16" x14ac:dyDescent="0.2">
      <c r="A680" s="180" t="s">
        <v>333</v>
      </c>
      <c r="B680" s="180">
        <v>812</v>
      </c>
      <c r="C680" s="180" t="s">
        <v>1680</v>
      </c>
      <c r="D680" s="180" t="s">
        <v>404</v>
      </c>
      <c r="E680" s="180">
        <v>30</v>
      </c>
      <c r="F680" s="180">
        <f>E676</f>
        <v>30</v>
      </c>
      <c r="G680" s="180" t="s">
        <v>1681</v>
      </c>
      <c r="H680" s="180" t="s">
        <v>376</v>
      </c>
      <c r="I680" s="180"/>
      <c r="J680" s="180"/>
      <c r="K680" s="180"/>
      <c r="L680" s="180"/>
      <c r="M680" s="180"/>
      <c r="N680" s="180"/>
      <c r="O680" s="180"/>
    </row>
    <row r="681" spans="1:15" ht="16" x14ac:dyDescent="0.2">
      <c r="A681" s="180" t="s">
        <v>333</v>
      </c>
      <c r="B681" s="180">
        <v>813</v>
      </c>
      <c r="C681" s="180" t="s">
        <v>1682</v>
      </c>
      <c r="D681" s="180" t="s">
        <v>347</v>
      </c>
      <c r="E681" s="180">
        <v>2</v>
      </c>
      <c r="F681" s="180"/>
      <c r="G681" s="180" t="s">
        <v>1683</v>
      </c>
      <c r="H681" s="180" t="s">
        <v>376</v>
      </c>
      <c r="I681" s="180"/>
      <c r="J681" s="180"/>
      <c r="K681" s="180"/>
      <c r="L681" s="180"/>
      <c r="M681" s="180"/>
      <c r="N681" s="180"/>
      <c r="O681" s="180"/>
    </row>
    <row r="682" spans="1:15" ht="16" x14ac:dyDescent="0.2">
      <c r="A682" s="180" t="s">
        <v>333</v>
      </c>
      <c r="B682" s="180">
        <v>814</v>
      </c>
      <c r="C682" s="180" t="s">
        <v>1684</v>
      </c>
      <c r="D682" s="180" t="s">
        <v>362</v>
      </c>
      <c r="E682" s="180">
        <v>0</v>
      </c>
      <c r="F682" s="180"/>
      <c r="G682" s="180" t="s">
        <v>1685</v>
      </c>
      <c r="H682" s="180" t="s">
        <v>376</v>
      </c>
      <c r="I682" s="180"/>
      <c r="J682" s="180"/>
      <c r="K682" s="180"/>
      <c r="L682" s="180"/>
      <c r="M682" s="180"/>
      <c r="N682" s="180"/>
      <c r="O682" s="180"/>
    </row>
    <row r="683" spans="1:15" ht="16" x14ac:dyDescent="0.2">
      <c r="A683" s="180" t="s">
        <v>451</v>
      </c>
      <c r="B683" s="180">
        <v>815</v>
      </c>
      <c r="C683" s="180" t="s">
        <v>1686</v>
      </c>
      <c r="D683" s="180" t="s">
        <v>342</v>
      </c>
      <c r="E683" s="180">
        <v>2</v>
      </c>
      <c r="F683" s="180"/>
      <c r="G683" s="180" t="s">
        <v>1687</v>
      </c>
      <c r="H683" s="180" t="s">
        <v>376</v>
      </c>
      <c r="I683" s="180"/>
      <c r="J683" s="180"/>
      <c r="K683" s="180"/>
      <c r="L683" s="180"/>
      <c r="M683" s="180"/>
      <c r="N683" s="180"/>
      <c r="O683" s="180"/>
    </row>
    <row r="684" spans="1:15" ht="16" x14ac:dyDescent="0.2">
      <c r="A684" s="180" t="s">
        <v>333</v>
      </c>
      <c r="B684" s="180">
        <v>816</v>
      </c>
      <c r="C684" s="180" t="s">
        <v>1688</v>
      </c>
      <c r="D684" s="180" t="s">
        <v>1689</v>
      </c>
      <c r="E684" s="180">
        <v>50</v>
      </c>
      <c r="F684" s="180"/>
      <c r="G684" s="180" t="s">
        <v>1690</v>
      </c>
      <c r="H684" s="180" t="s">
        <v>376</v>
      </c>
      <c r="I684" s="180" t="s">
        <v>85</v>
      </c>
      <c r="J684" s="180"/>
      <c r="K684" s="180"/>
      <c r="L684" s="180"/>
      <c r="M684" s="180"/>
      <c r="N684" s="180"/>
      <c r="O684" s="180"/>
    </row>
    <row r="685" spans="1:15" ht="16" x14ac:dyDescent="0.2">
      <c r="A685" s="180" t="s">
        <v>333</v>
      </c>
      <c r="B685" s="180">
        <v>817</v>
      </c>
      <c r="C685" s="180" t="s">
        <v>1691</v>
      </c>
      <c r="D685" s="180" t="s">
        <v>364</v>
      </c>
      <c r="E685" s="180">
        <v>1</v>
      </c>
      <c r="F685" s="180"/>
      <c r="G685" s="180" t="s">
        <v>1692</v>
      </c>
      <c r="H685" s="180" t="s">
        <v>376</v>
      </c>
      <c r="I685" s="180"/>
      <c r="J685" s="180"/>
      <c r="K685" s="180"/>
      <c r="L685" s="180"/>
      <c r="M685" s="180"/>
      <c r="N685" s="180"/>
      <c r="O685" s="180"/>
    </row>
    <row r="686" spans="1:15" ht="16" x14ac:dyDescent="0.2">
      <c r="A686" s="180" t="s">
        <v>333</v>
      </c>
      <c r="B686" s="180">
        <v>818</v>
      </c>
      <c r="C686" s="180" t="s">
        <v>1693</v>
      </c>
      <c r="D686" s="180" t="s">
        <v>882</v>
      </c>
      <c r="E686" s="180">
        <v>2015</v>
      </c>
      <c r="F686" s="180"/>
      <c r="G686" s="180" t="s">
        <v>1694</v>
      </c>
      <c r="H686" s="180" t="s">
        <v>376</v>
      </c>
      <c r="I686" s="180"/>
      <c r="J686" s="180"/>
      <c r="K686" s="180"/>
      <c r="L686" s="180"/>
      <c r="M686" s="180"/>
      <c r="N686" s="180"/>
      <c r="O686" s="180"/>
    </row>
    <row r="687" spans="1:15" ht="16" x14ac:dyDescent="0.2">
      <c r="A687" s="180" t="s">
        <v>739</v>
      </c>
      <c r="B687" s="180">
        <v>819</v>
      </c>
      <c r="C687" s="180" t="s">
        <v>1695</v>
      </c>
      <c r="D687" s="180" t="s">
        <v>697</v>
      </c>
      <c r="E687" s="180">
        <v>4</v>
      </c>
      <c r="F687" s="180"/>
      <c r="G687" s="180" t="s">
        <v>1696</v>
      </c>
      <c r="H687" s="180" t="s">
        <v>376</v>
      </c>
      <c r="I687" s="180"/>
      <c r="J687" s="180"/>
      <c r="K687" s="180"/>
      <c r="L687" s="180"/>
      <c r="M687" s="180"/>
      <c r="N687" s="180"/>
      <c r="O687" s="180"/>
    </row>
    <row r="688" spans="1:15" ht="16" x14ac:dyDescent="0.2">
      <c r="A688" s="180" t="s">
        <v>451</v>
      </c>
      <c r="B688" s="180">
        <v>820</v>
      </c>
      <c r="C688" s="180" t="s">
        <v>1697</v>
      </c>
      <c r="D688" s="180" t="s">
        <v>378</v>
      </c>
      <c r="E688" s="180">
        <v>1</v>
      </c>
      <c r="F688" s="180"/>
      <c r="G688" s="180" t="s">
        <v>1698</v>
      </c>
      <c r="H688" s="180" t="s">
        <v>376</v>
      </c>
      <c r="I688" s="180"/>
      <c r="J688" s="180"/>
      <c r="K688" s="180"/>
      <c r="L688" s="180"/>
      <c r="M688" s="180"/>
      <c r="N688" s="180"/>
      <c r="O688" s="180"/>
    </row>
    <row r="689" spans="1:15" ht="16" x14ac:dyDescent="0.2">
      <c r="A689" s="180" t="s">
        <v>333</v>
      </c>
      <c r="B689" s="180">
        <v>821</v>
      </c>
      <c r="C689" s="180" t="s">
        <v>1699</v>
      </c>
      <c r="D689" s="180" t="s">
        <v>342</v>
      </c>
      <c r="E689" s="180">
        <v>2</v>
      </c>
      <c r="F689" s="180"/>
      <c r="G689" s="180" t="s">
        <v>1700</v>
      </c>
      <c r="H689" s="180" t="s">
        <v>376</v>
      </c>
      <c r="I689" s="180"/>
      <c r="J689" s="180"/>
      <c r="K689" s="180"/>
      <c r="L689" s="180"/>
      <c r="M689" s="180"/>
      <c r="N689" s="180"/>
      <c r="O689" s="180"/>
    </row>
    <row r="690" spans="1:15" ht="16" x14ac:dyDescent="0.2">
      <c r="A690" s="180" t="s">
        <v>451</v>
      </c>
      <c r="B690" s="180">
        <v>822</v>
      </c>
      <c r="C690" s="180" t="s">
        <v>1701</v>
      </c>
      <c r="D690" s="180" t="s">
        <v>935</v>
      </c>
      <c r="E690" s="180">
        <v>5</v>
      </c>
      <c r="F690" s="180"/>
      <c r="G690" s="180"/>
      <c r="H690" s="180" t="s">
        <v>376</v>
      </c>
      <c r="I690" s="180"/>
      <c r="J690" s="180"/>
      <c r="K690" s="180"/>
      <c r="L690" s="180"/>
      <c r="M690" s="180"/>
      <c r="N690" s="180"/>
      <c r="O690" s="180"/>
    </row>
    <row r="691" spans="1:15" ht="16" x14ac:dyDescent="0.2">
      <c r="A691" s="180" t="s">
        <v>333</v>
      </c>
      <c r="B691" s="180">
        <v>823</v>
      </c>
      <c r="C691" s="180" t="s">
        <v>1925</v>
      </c>
      <c r="D691" s="181" t="s">
        <v>897</v>
      </c>
      <c r="E691" s="180">
        <v>20</v>
      </c>
      <c r="F691" s="184">
        <f>(Tables12!$F$25-BenefitParams!$D$6*BackgroundInfo2!$B$15*Tables12!$Q$9)*BackgroundInfo1!$B$10*SUM(BackgroundInfo1!$C$32:$C$33)/BackgroundInfo2!$B$15</f>
        <v>18.978077212030673</v>
      </c>
      <c r="G691" s="180" t="s">
        <v>363</v>
      </c>
      <c r="H691" s="180" t="s">
        <v>376</v>
      </c>
      <c r="I691" s="181" t="s">
        <v>1926</v>
      </c>
      <c r="J691" s="180"/>
      <c r="K691" s="180"/>
      <c r="L691" s="180"/>
      <c r="M691" s="180"/>
      <c r="N691" s="180"/>
      <c r="O691" s="180"/>
    </row>
    <row r="692" spans="1:15" ht="16" x14ac:dyDescent="0.2">
      <c r="A692" s="180" t="s">
        <v>333</v>
      </c>
      <c r="B692" s="180">
        <v>824</v>
      </c>
      <c r="C692" s="180" t="s">
        <v>1702</v>
      </c>
      <c r="D692" s="180" t="s">
        <v>352</v>
      </c>
      <c r="E692" s="180">
        <v>2022</v>
      </c>
      <c r="F692" s="180"/>
      <c r="G692" s="180" t="s">
        <v>1703</v>
      </c>
      <c r="H692" s="180" t="s">
        <v>376</v>
      </c>
      <c r="I692" s="180"/>
      <c r="J692" s="180"/>
      <c r="K692" s="180"/>
      <c r="L692" s="180"/>
      <c r="M692" s="180"/>
      <c r="N692" s="180"/>
      <c r="O692" s="180"/>
    </row>
    <row r="693" spans="1:15" ht="16" x14ac:dyDescent="0.2">
      <c r="A693" s="180" t="s">
        <v>1454</v>
      </c>
      <c r="B693" s="180">
        <v>825</v>
      </c>
      <c r="C693" s="180" t="s">
        <v>1704</v>
      </c>
      <c r="D693" s="180" t="s">
        <v>407</v>
      </c>
      <c r="E693" s="180">
        <v>10</v>
      </c>
      <c r="F693" s="180"/>
      <c r="G693" s="180" t="s">
        <v>1705</v>
      </c>
      <c r="H693" s="180" t="s">
        <v>376</v>
      </c>
      <c r="I693" s="180"/>
      <c r="J693" s="180"/>
      <c r="K693" s="180"/>
      <c r="L693" s="180"/>
      <c r="M693" s="180"/>
      <c r="N693" s="180"/>
      <c r="O693" s="180"/>
    </row>
    <row r="694" spans="1:15" ht="16" x14ac:dyDescent="0.2">
      <c r="A694" s="180" t="s">
        <v>333</v>
      </c>
      <c r="B694" s="180">
        <v>826</v>
      </c>
      <c r="C694" s="180" t="s">
        <v>1706</v>
      </c>
      <c r="D694" s="180" t="s">
        <v>1707</v>
      </c>
      <c r="E694" s="180">
        <v>603</v>
      </c>
      <c r="F694" s="180"/>
      <c r="G694" s="180" t="s">
        <v>1708</v>
      </c>
      <c r="H694" s="180" t="s">
        <v>376</v>
      </c>
      <c r="I694" s="180"/>
      <c r="J694" s="180"/>
      <c r="K694" s="180"/>
      <c r="L694" s="180"/>
      <c r="M694" s="180"/>
      <c r="N694" s="180"/>
      <c r="O694" s="180"/>
    </row>
    <row r="695" spans="1:15" ht="16" x14ac:dyDescent="0.2">
      <c r="A695" s="180" t="s">
        <v>333</v>
      </c>
      <c r="B695" s="180">
        <v>827</v>
      </c>
      <c r="C695" s="180" t="s">
        <v>1709</v>
      </c>
      <c r="D695" s="180" t="s">
        <v>649</v>
      </c>
      <c r="E695" s="180">
        <v>2013</v>
      </c>
      <c r="F695" s="180"/>
      <c r="G695" s="180" t="s">
        <v>389</v>
      </c>
      <c r="H695" s="180" t="s">
        <v>376</v>
      </c>
      <c r="I695" s="180"/>
      <c r="J695" s="180"/>
      <c r="K695" s="180"/>
      <c r="L695" s="180"/>
      <c r="M695" s="180"/>
      <c r="N695" s="180"/>
      <c r="O695" s="180"/>
    </row>
    <row r="696" spans="1:15" ht="16" x14ac:dyDescent="0.2">
      <c r="A696" s="180" t="s">
        <v>373</v>
      </c>
      <c r="B696" s="180">
        <v>828</v>
      </c>
      <c r="C696" s="180" t="s">
        <v>1658</v>
      </c>
      <c r="D696" s="180" t="s">
        <v>378</v>
      </c>
      <c r="E696" s="180">
        <v>1</v>
      </c>
      <c r="F696" s="180"/>
      <c r="G696" s="180" t="s">
        <v>1710</v>
      </c>
      <c r="H696" s="180" t="s">
        <v>376</v>
      </c>
      <c r="I696" s="180"/>
      <c r="J696" s="180"/>
      <c r="K696" s="180"/>
      <c r="L696" s="180"/>
      <c r="M696" s="180"/>
      <c r="N696" s="180"/>
      <c r="O696" s="180"/>
    </row>
    <row r="697" spans="1:15" ht="16" x14ac:dyDescent="0.2">
      <c r="A697" s="180" t="s">
        <v>333</v>
      </c>
      <c r="B697" s="180">
        <v>829</v>
      </c>
      <c r="C697" s="180" t="s">
        <v>1711</v>
      </c>
      <c r="D697" s="180" t="s">
        <v>882</v>
      </c>
      <c r="E697" s="180">
        <v>2015</v>
      </c>
      <c r="F697" s="180"/>
      <c r="G697" s="180" t="s">
        <v>1712</v>
      </c>
      <c r="H697" s="180" t="s">
        <v>376</v>
      </c>
      <c r="I697" s="180"/>
      <c r="J697" s="180"/>
      <c r="K697" s="180"/>
      <c r="L697" s="180"/>
      <c r="M697" s="180"/>
      <c r="N697" s="180"/>
      <c r="O697" s="180"/>
    </row>
    <row r="698" spans="1:15" ht="16" x14ac:dyDescent="0.2">
      <c r="A698" s="180" t="s">
        <v>333</v>
      </c>
      <c r="B698" s="180">
        <v>830</v>
      </c>
      <c r="C698" s="180" t="s">
        <v>1713</v>
      </c>
      <c r="D698" s="180" t="s">
        <v>1714</v>
      </c>
      <c r="E698" s="180">
        <v>246</v>
      </c>
      <c r="F698" s="180"/>
      <c r="G698" s="180" t="s">
        <v>389</v>
      </c>
      <c r="H698" s="180" t="s">
        <v>376</v>
      </c>
      <c r="I698" s="180"/>
      <c r="J698" s="180"/>
      <c r="K698" s="180"/>
      <c r="L698" s="180"/>
      <c r="M698" s="180"/>
      <c r="N698" s="180"/>
      <c r="O698" s="180"/>
    </row>
    <row r="699" spans="1:15" ht="16" x14ac:dyDescent="0.2">
      <c r="A699" s="180" t="s">
        <v>333</v>
      </c>
      <c r="B699" s="180">
        <v>831</v>
      </c>
      <c r="C699" s="180" t="s">
        <v>1715</v>
      </c>
      <c r="D699" s="180" t="s">
        <v>989</v>
      </c>
      <c r="E699" s="180">
        <v>2014</v>
      </c>
      <c r="F699" s="180"/>
      <c r="G699" s="180" t="s">
        <v>1716</v>
      </c>
      <c r="H699" s="180" t="s">
        <v>376</v>
      </c>
      <c r="I699" s="180"/>
      <c r="J699" s="180"/>
      <c r="K699" s="180"/>
      <c r="L699" s="180"/>
      <c r="M699" s="180"/>
      <c r="N699" s="180"/>
      <c r="O699" s="180"/>
    </row>
    <row r="700" spans="1:15" ht="16" x14ac:dyDescent="0.2">
      <c r="A700" s="180" t="s">
        <v>333</v>
      </c>
      <c r="B700" s="180">
        <v>832</v>
      </c>
      <c r="C700" s="180" t="s">
        <v>1717</v>
      </c>
      <c r="D700" s="180" t="s">
        <v>882</v>
      </c>
      <c r="E700" s="180">
        <v>2015</v>
      </c>
      <c r="F700" s="180"/>
      <c r="G700" s="180" t="s">
        <v>1718</v>
      </c>
      <c r="H700" s="180" t="s">
        <v>376</v>
      </c>
      <c r="I700" s="180"/>
      <c r="J700" s="180"/>
      <c r="K700" s="180"/>
      <c r="L700" s="180"/>
      <c r="M700" s="180"/>
      <c r="N700" s="180"/>
      <c r="O700" s="180"/>
    </row>
    <row r="701" spans="1:15" ht="16" x14ac:dyDescent="0.2">
      <c r="A701" s="180" t="s">
        <v>333</v>
      </c>
      <c r="B701" s="180">
        <v>833</v>
      </c>
      <c r="C701" s="180" t="s">
        <v>1719</v>
      </c>
      <c r="D701" s="180" t="s">
        <v>653</v>
      </c>
      <c r="E701" s="180">
        <v>2012</v>
      </c>
      <c r="F701" s="180"/>
      <c r="G701" s="180" t="s">
        <v>389</v>
      </c>
      <c r="H701" s="180" t="s">
        <v>376</v>
      </c>
      <c r="I701" s="180"/>
      <c r="J701" s="180"/>
      <c r="K701" s="180"/>
      <c r="L701" s="180"/>
      <c r="M701" s="180"/>
      <c r="N701" s="180"/>
      <c r="O701" s="180"/>
    </row>
    <row r="702" spans="1:15" ht="16" x14ac:dyDescent="0.2">
      <c r="A702" s="180" t="s">
        <v>333</v>
      </c>
      <c r="B702" s="180">
        <v>834</v>
      </c>
      <c r="C702" s="180" t="s">
        <v>1720</v>
      </c>
      <c r="D702" s="180" t="s">
        <v>573</v>
      </c>
      <c r="E702" s="180">
        <v>84</v>
      </c>
      <c r="F702" s="180"/>
      <c r="G702" s="180" t="s">
        <v>1721</v>
      </c>
      <c r="H702" s="180" t="s">
        <v>376</v>
      </c>
      <c r="I702" s="180"/>
      <c r="J702" s="180"/>
      <c r="K702" s="180"/>
      <c r="L702" s="180"/>
      <c r="M702" s="180"/>
      <c r="N702" s="180"/>
      <c r="O702" s="180"/>
    </row>
    <row r="703" spans="1:15" ht="16" x14ac:dyDescent="0.2">
      <c r="A703" s="180" t="s">
        <v>333</v>
      </c>
      <c r="B703" s="180">
        <v>835</v>
      </c>
      <c r="C703" s="180" t="s">
        <v>1722</v>
      </c>
      <c r="D703" s="180" t="s">
        <v>1723</v>
      </c>
      <c r="E703" s="180">
        <v>2343</v>
      </c>
      <c r="F703" s="180"/>
      <c r="G703" s="180" t="s">
        <v>389</v>
      </c>
      <c r="H703" s="180" t="s">
        <v>376</v>
      </c>
      <c r="I703" s="180"/>
      <c r="J703" s="180"/>
      <c r="K703" s="180"/>
      <c r="L703" s="180"/>
      <c r="M703" s="180"/>
      <c r="N703" s="180"/>
      <c r="O703" s="180"/>
    </row>
    <row r="704" spans="1:15" ht="16" x14ac:dyDescent="0.2">
      <c r="A704" s="180" t="s">
        <v>1092</v>
      </c>
      <c r="B704" s="180">
        <v>836</v>
      </c>
      <c r="C704" s="180" t="s">
        <v>1724</v>
      </c>
      <c r="D704" s="180" t="s">
        <v>869</v>
      </c>
      <c r="E704" s="180">
        <v>6</v>
      </c>
      <c r="F704" s="180"/>
      <c r="G704" s="180" t="s">
        <v>1725</v>
      </c>
      <c r="H704" s="180" t="s">
        <v>376</v>
      </c>
      <c r="I704" s="180"/>
      <c r="J704" s="180"/>
      <c r="K704" s="180"/>
      <c r="L704" s="180"/>
      <c r="M704" s="180"/>
      <c r="N704" s="180"/>
      <c r="O704" s="180"/>
    </row>
    <row r="705" spans="1:15" ht="16" x14ac:dyDescent="0.2">
      <c r="A705" s="180" t="s">
        <v>1092</v>
      </c>
      <c r="B705" s="180">
        <v>837</v>
      </c>
      <c r="C705" s="180" t="s">
        <v>1726</v>
      </c>
      <c r="D705" s="180" t="s">
        <v>630</v>
      </c>
      <c r="E705" s="180">
        <v>9</v>
      </c>
      <c r="F705" s="180"/>
      <c r="G705" s="180" t="s">
        <v>1727</v>
      </c>
      <c r="H705" s="180" t="s">
        <v>376</v>
      </c>
      <c r="I705" s="180"/>
      <c r="J705" s="180"/>
      <c r="K705" s="180"/>
      <c r="L705" s="180"/>
      <c r="M705" s="180"/>
      <c r="N705" s="180"/>
      <c r="O705" s="180"/>
    </row>
    <row r="706" spans="1:15" ht="16" x14ac:dyDescent="0.2">
      <c r="A706" s="180" t="s">
        <v>333</v>
      </c>
      <c r="B706" s="180">
        <v>838</v>
      </c>
      <c r="C706" s="180" t="s">
        <v>1728</v>
      </c>
      <c r="D706" s="180" t="s">
        <v>407</v>
      </c>
      <c r="E706" s="180">
        <v>10</v>
      </c>
      <c r="F706" s="180"/>
      <c r="G706" s="180" t="s">
        <v>1729</v>
      </c>
      <c r="H706" s="180" t="s">
        <v>376</v>
      </c>
      <c r="I706" s="180"/>
      <c r="J706" s="180"/>
      <c r="K706" s="180"/>
      <c r="L706" s="180"/>
      <c r="M706" s="180"/>
      <c r="N706" s="180"/>
      <c r="O706" s="180"/>
    </row>
    <row r="707" spans="1:15" ht="16" x14ac:dyDescent="0.2">
      <c r="A707" s="180" t="s">
        <v>333</v>
      </c>
      <c r="B707" s="180">
        <v>839</v>
      </c>
      <c r="C707" s="180" t="s">
        <v>1730</v>
      </c>
      <c r="D707" s="180" t="s">
        <v>352</v>
      </c>
      <c r="E707" s="180">
        <v>2022</v>
      </c>
      <c r="F707" s="180"/>
      <c r="G707" s="180" t="s">
        <v>1731</v>
      </c>
      <c r="H707" s="180" t="s">
        <v>376</v>
      </c>
      <c r="I707" s="180"/>
      <c r="J707" s="180"/>
      <c r="K707" s="180"/>
      <c r="L707" s="180"/>
      <c r="M707" s="180"/>
      <c r="N707" s="180"/>
      <c r="O707" s="180"/>
    </row>
    <row r="708" spans="1:15" ht="16" x14ac:dyDescent="0.2">
      <c r="A708" s="180" t="s">
        <v>333</v>
      </c>
      <c r="B708" s="180">
        <v>840</v>
      </c>
      <c r="C708" s="180" t="s">
        <v>1732</v>
      </c>
      <c r="D708" s="180" t="s">
        <v>352</v>
      </c>
      <c r="E708" s="180">
        <v>2022</v>
      </c>
      <c r="F708" s="180"/>
      <c r="G708" s="180" t="s">
        <v>1733</v>
      </c>
      <c r="H708" s="180" t="s">
        <v>376</v>
      </c>
      <c r="I708" s="180"/>
      <c r="J708" s="180"/>
      <c r="K708" s="180"/>
      <c r="L708" s="180"/>
      <c r="M708" s="180"/>
      <c r="N708" s="180"/>
      <c r="O708" s="180"/>
    </row>
    <row r="709" spans="1:15" ht="16" x14ac:dyDescent="0.2">
      <c r="A709" s="180" t="s">
        <v>333</v>
      </c>
      <c r="B709" s="180">
        <v>841</v>
      </c>
      <c r="C709" s="180" t="s">
        <v>1734</v>
      </c>
      <c r="D709" s="180" t="s">
        <v>1111</v>
      </c>
      <c r="E709" s="180">
        <v>1.8100000000000002E-2</v>
      </c>
      <c r="F709" s="180">
        <f>$E$355</f>
        <v>1.8100000000000002E-2</v>
      </c>
      <c r="G709" s="180" t="s">
        <v>1735</v>
      </c>
      <c r="H709" s="180" t="s">
        <v>376</v>
      </c>
      <c r="I709" s="180"/>
      <c r="J709" s="180"/>
      <c r="K709" s="180"/>
      <c r="L709" s="180"/>
      <c r="M709" s="180"/>
      <c r="N709" s="180"/>
      <c r="O709" s="180"/>
    </row>
    <row r="710" spans="1:15" ht="16" x14ac:dyDescent="0.2">
      <c r="A710" s="180" t="s">
        <v>333</v>
      </c>
      <c r="B710" s="180">
        <v>842</v>
      </c>
      <c r="C710" s="180" t="s">
        <v>1736</v>
      </c>
      <c r="D710" s="180" t="s">
        <v>362</v>
      </c>
      <c r="E710" s="180">
        <v>0</v>
      </c>
      <c r="F710" s="180"/>
      <c r="G710" s="180" t="s">
        <v>363</v>
      </c>
      <c r="H710" s="180" t="s">
        <v>376</v>
      </c>
      <c r="I710" s="180"/>
      <c r="J710" s="180"/>
      <c r="K710" s="180"/>
      <c r="L710" s="180"/>
      <c r="M710" s="180"/>
      <c r="N710" s="180"/>
      <c r="O710" s="180"/>
    </row>
    <row r="711" spans="1:15" ht="16" x14ac:dyDescent="0.2">
      <c r="A711" s="180" t="s">
        <v>365</v>
      </c>
      <c r="B711" s="180">
        <v>843</v>
      </c>
      <c r="C711" s="180"/>
      <c r="D711" s="180" t="s">
        <v>1737</v>
      </c>
      <c r="E711" s="180">
        <v>0.45</v>
      </c>
      <c r="F711" s="180">
        <f>E712*E713/(1-E713)</f>
        <v>0.44999999999999996</v>
      </c>
      <c r="G711" s="180" t="s">
        <v>1738</v>
      </c>
      <c r="H711" s="180" t="s">
        <v>376</v>
      </c>
      <c r="I711" s="180"/>
      <c r="J711" s="180"/>
      <c r="K711" s="180"/>
      <c r="L711" s="180"/>
      <c r="M711" s="180"/>
      <c r="N711" s="180"/>
      <c r="O711" s="180"/>
    </row>
    <row r="712" spans="1:15" ht="16" x14ac:dyDescent="0.2">
      <c r="A712" s="180" t="s">
        <v>333</v>
      </c>
      <c r="B712" s="180">
        <v>844</v>
      </c>
      <c r="C712" s="180" t="s">
        <v>1739</v>
      </c>
      <c r="D712" s="180" t="s">
        <v>1548</v>
      </c>
      <c r="E712" s="180">
        <v>0.15</v>
      </c>
      <c r="F712" s="180">
        <f>0.01*E394</f>
        <v>0.15</v>
      </c>
      <c r="G712" s="180" t="s">
        <v>1740</v>
      </c>
      <c r="H712" s="180" t="s">
        <v>376</v>
      </c>
      <c r="I712" s="180"/>
      <c r="J712" s="180"/>
      <c r="K712" s="180"/>
      <c r="L712" s="180"/>
      <c r="M712" s="180"/>
      <c r="N712" s="180"/>
      <c r="O712" s="180"/>
    </row>
    <row r="713" spans="1:15" ht="16" x14ac:dyDescent="0.2">
      <c r="A713" s="180" t="s">
        <v>333</v>
      </c>
      <c r="B713" s="180">
        <v>845</v>
      </c>
      <c r="C713" s="180" t="s">
        <v>1741</v>
      </c>
      <c r="D713" s="180" t="s">
        <v>1544</v>
      </c>
      <c r="E713" s="180">
        <v>0.75</v>
      </c>
      <c r="F713" s="180">
        <f>0.01*E395</f>
        <v>0.75</v>
      </c>
      <c r="G713" s="180" t="s">
        <v>1742</v>
      </c>
      <c r="H713" s="180" t="s">
        <v>376</v>
      </c>
      <c r="I713" s="180"/>
      <c r="J713" s="180"/>
      <c r="K713" s="180"/>
      <c r="L713" s="180"/>
      <c r="M713" s="180"/>
      <c r="N713" s="180"/>
      <c r="O713" s="180"/>
    </row>
    <row r="714" spans="1:15" ht="16" x14ac:dyDescent="0.2">
      <c r="A714" s="180" t="s">
        <v>333</v>
      </c>
      <c r="B714" s="180">
        <v>848</v>
      </c>
      <c r="C714" s="180" t="s">
        <v>1743</v>
      </c>
      <c r="D714" s="180" t="s">
        <v>859</v>
      </c>
      <c r="E714" s="180">
        <v>0.5</v>
      </c>
      <c r="F714" s="180">
        <f>PartD!$B$7</f>
        <v>-0.5</v>
      </c>
      <c r="G714" s="180" t="s">
        <v>1744</v>
      </c>
      <c r="H714" s="180" t="s">
        <v>376</v>
      </c>
      <c r="I714" s="180"/>
      <c r="J714" s="180"/>
      <c r="K714" s="180"/>
      <c r="L714" s="180"/>
      <c r="M714" s="180"/>
      <c r="N714" s="180"/>
      <c r="O714" s="180"/>
    </row>
    <row r="715" spans="1:15" ht="16" x14ac:dyDescent="0.2">
      <c r="A715" s="180" t="s">
        <v>333</v>
      </c>
      <c r="B715" s="180">
        <v>849</v>
      </c>
      <c r="C715" s="180" t="s">
        <v>1745</v>
      </c>
      <c r="D715" s="180" t="s">
        <v>1088</v>
      </c>
      <c r="E715" s="180">
        <v>1.2</v>
      </c>
      <c r="F715" s="180">
        <f>PartD!$B$8</f>
        <v>-1.2</v>
      </c>
      <c r="G715" s="180" t="s">
        <v>1746</v>
      </c>
      <c r="H715" s="180" t="s">
        <v>376</v>
      </c>
      <c r="I715" s="180"/>
      <c r="J715" s="180"/>
      <c r="K715" s="180"/>
      <c r="L715" s="180"/>
      <c r="M715" s="180"/>
      <c r="N715" s="180"/>
      <c r="O715" s="180"/>
    </row>
    <row r="716" spans="1:15" ht="16" x14ac:dyDescent="0.2">
      <c r="A716" s="180" t="s">
        <v>333</v>
      </c>
      <c r="B716" s="180">
        <v>850</v>
      </c>
      <c r="C716" s="180" t="s">
        <v>1747</v>
      </c>
      <c r="D716" s="180" t="s">
        <v>1172</v>
      </c>
      <c r="E716" s="180">
        <v>1.1000000000000001</v>
      </c>
      <c r="F716" s="180">
        <f>InsulinAct!$B$8</f>
        <v>-1.1000000000000001</v>
      </c>
      <c r="G716" s="180" t="s">
        <v>1748</v>
      </c>
      <c r="H716" s="180" t="s">
        <v>376</v>
      </c>
      <c r="I716" s="180"/>
      <c r="J716" s="180"/>
      <c r="K716" s="180"/>
      <c r="L716" s="180"/>
      <c r="M716" s="180"/>
      <c r="N716" s="180"/>
      <c r="O716" s="180"/>
    </row>
    <row r="717" spans="1:15" ht="16" x14ac:dyDescent="0.2">
      <c r="A717" s="180" t="s">
        <v>333</v>
      </c>
      <c r="B717" s="180">
        <v>851</v>
      </c>
      <c r="C717" s="180" t="s">
        <v>1749</v>
      </c>
      <c r="D717" s="180" t="s">
        <v>601</v>
      </c>
      <c r="E717" s="180">
        <v>2019</v>
      </c>
      <c r="F717" s="180"/>
      <c r="G717" s="180" t="s">
        <v>1750</v>
      </c>
      <c r="H717" s="180" t="s">
        <v>376</v>
      </c>
      <c r="I717" s="180"/>
      <c r="J717" s="180"/>
      <c r="K717" s="180"/>
      <c r="L717" s="180"/>
      <c r="M717" s="180"/>
      <c r="N717" s="180"/>
      <c r="O717" s="180"/>
    </row>
    <row r="718" spans="1:15" ht="16" x14ac:dyDescent="0.2">
      <c r="A718" s="180" t="s">
        <v>333</v>
      </c>
      <c r="B718" s="180">
        <v>852</v>
      </c>
      <c r="C718" s="180" t="s">
        <v>1751</v>
      </c>
      <c r="D718" s="180" t="s">
        <v>601</v>
      </c>
      <c r="E718" s="180">
        <v>2019</v>
      </c>
      <c r="F718" s="180"/>
      <c r="G718" s="180" t="s">
        <v>1752</v>
      </c>
      <c r="H718" s="180" t="s">
        <v>376</v>
      </c>
      <c r="I718" s="180"/>
      <c r="J718" s="180"/>
      <c r="K718" s="180"/>
      <c r="L718" s="180"/>
      <c r="M718" s="180"/>
      <c r="N718" s="180"/>
      <c r="O718" s="180"/>
    </row>
    <row r="719" spans="1:15" ht="16" x14ac:dyDescent="0.2">
      <c r="A719" s="180" t="s">
        <v>333</v>
      </c>
      <c r="B719" s="180">
        <v>853</v>
      </c>
      <c r="C719" s="180" t="s">
        <v>1753</v>
      </c>
      <c r="D719" s="180" t="s">
        <v>859</v>
      </c>
      <c r="E719" s="180">
        <v>0.5</v>
      </c>
      <c r="F719" s="180"/>
      <c r="G719" s="180" t="s">
        <v>363</v>
      </c>
      <c r="H719" s="180" t="s">
        <v>376</v>
      </c>
      <c r="I719" s="180"/>
      <c r="J719" s="180" t="s">
        <v>1874</v>
      </c>
      <c r="K719" s="180"/>
      <c r="L719" s="180"/>
      <c r="M719" s="180"/>
      <c r="N719" s="180"/>
      <c r="O719" s="180"/>
    </row>
    <row r="720" spans="1:15" ht="16" x14ac:dyDescent="0.2">
      <c r="A720" s="180" t="s">
        <v>333</v>
      </c>
      <c r="B720" s="180">
        <v>854</v>
      </c>
      <c r="C720" s="180" t="s">
        <v>1749</v>
      </c>
      <c r="D720" s="180" t="s">
        <v>1307</v>
      </c>
      <c r="E720" s="180">
        <v>1992</v>
      </c>
      <c r="F720" s="180"/>
      <c r="G720" s="180" t="s">
        <v>1754</v>
      </c>
      <c r="H720" s="180" t="s">
        <v>376</v>
      </c>
      <c r="I720" s="180"/>
      <c r="J720" s="180"/>
      <c r="K720" s="180"/>
      <c r="L720" s="180"/>
      <c r="M720" s="180"/>
      <c r="N720" s="180"/>
      <c r="O720" s="180"/>
    </row>
    <row r="721" spans="1:15" ht="16" x14ac:dyDescent="0.2">
      <c r="A721" s="180" t="s">
        <v>333</v>
      </c>
      <c r="B721" s="180">
        <v>855</v>
      </c>
      <c r="C721" s="180" t="s">
        <v>1755</v>
      </c>
      <c r="D721" s="180" t="s">
        <v>839</v>
      </c>
      <c r="E721" s="180">
        <v>0.25</v>
      </c>
      <c r="F721" s="180"/>
      <c r="G721" s="180" t="s">
        <v>1756</v>
      </c>
      <c r="H721" s="180" t="s">
        <v>376</v>
      </c>
      <c r="I721" s="180"/>
      <c r="J721" s="180"/>
      <c r="K721" s="180"/>
      <c r="L721" s="180"/>
      <c r="M721" s="180"/>
      <c r="N721" s="180"/>
      <c r="O721" s="180"/>
    </row>
    <row r="722" spans="1:15" ht="16" x14ac:dyDescent="0.2">
      <c r="A722" s="180" t="s">
        <v>365</v>
      </c>
      <c r="B722" s="180">
        <v>856</v>
      </c>
      <c r="C722" s="180"/>
      <c r="D722" s="180" t="s">
        <v>869</v>
      </c>
      <c r="E722" s="180">
        <v>6</v>
      </c>
      <c r="F722" s="180">
        <f>AVERAGE(E723,-E724)</f>
        <v>6</v>
      </c>
      <c r="G722" s="180" t="s">
        <v>1757</v>
      </c>
      <c r="H722" s="180" t="s">
        <v>376</v>
      </c>
      <c r="I722" s="180"/>
      <c r="J722" s="180"/>
      <c r="K722" s="180"/>
      <c r="L722" s="180"/>
      <c r="M722" s="180"/>
      <c r="N722" s="180"/>
      <c r="O722" s="180"/>
    </row>
    <row r="723" spans="1:15" ht="16" x14ac:dyDescent="0.2">
      <c r="A723" s="180" t="s">
        <v>333</v>
      </c>
      <c r="B723" s="180">
        <v>857</v>
      </c>
      <c r="C723" s="180" t="s">
        <v>1758</v>
      </c>
      <c r="D723" s="180" t="s">
        <v>342</v>
      </c>
      <c r="E723" s="180">
        <v>2</v>
      </c>
      <c r="F723" s="180"/>
      <c r="G723" s="180" t="s">
        <v>1759</v>
      </c>
      <c r="H723" s="180" t="s">
        <v>376</v>
      </c>
      <c r="I723" s="180"/>
      <c r="J723" s="180"/>
      <c r="K723" s="180"/>
      <c r="L723" s="180"/>
      <c r="M723" s="180"/>
      <c r="N723" s="180"/>
      <c r="O723" s="180"/>
    </row>
    <row r="724" spans="1:15" ht="16" x14ac:dyDescent="0.2">
      <c r="A724" s="180" t="s">
        <v>333</v>
      </c>
      <c r="B724" s="180">
        <v>858</v>
      </c>
      <c r="C724" s="180" t="s">
        <v>1760</v>
      </c>
      <c r="D724" s="180" t="s">
        <v>1761</v>
      </c>
      <c r="E724" s="180">
        <v>-10</v>
      </c>
      <c r="F724" s="180"/>
      <c r="G724" s="180" t="s">
        <v>1762</v>
      </c>
      <c r="H724" s="180" t="s">
        <v>376</v>
      </c>
      <c r="I724" s="180"/>
      <c r="J724" s="180"/>
      <c r="K724" s="180"/>
      <c r="L724" s="180"/>
      <c r="M724" s="180"/>
      <c r="N724" s="180"/>
      <c r="O724" s="180"/>
    </row>
    <row r="725" spans="1:15" ht="16" x14ac:dyDescent="0.2">
      <c r="A725" s="180" t="s">
        <v>333</v>
      </c>
      <c r="B725" s="180">
        <v>859</v>
      </c>
      <c r="C725" s="180" t="s">
        <v>1763</v>
      </c>
      <c r="D725" s="180" t="s">
        <v>1017</v>
      </c>
      <c r="E725" s="180">
        <v>2007</v>
      </c>
      <c r="F725" s="180"/>
      <c r="G725" s="180" t="s">
        <v>1764</v>
      </c>
      <c r="H725" s="180" t="s">
        <v>376</v>
      </c>
      <c r="I725" s="180"/>
      <c r="J725" s="180"/>
      <c r="K725" s="180"/>
      <c r="L725" s="180"/>
      <c r="M725" s="180"/>
      <c r="N725" s="180"/>
      <c r="O725" s="180"/>
    </row>
    <row r="726" spans="1:15" ht="16" x14ac:dyDescent="0.2">
      <c r="A726" s="180" t="s">
        <v>333</v>
      </c>
      <c r="B726" s="180">
        <v>860</v>
      </c>
      <c r="C726" s="180" t="s">
        <v>1765</v>
      </c>
      <c r="D726" s="180" t="s">
        <v>1766</v>
      </c>
      <c r="E726" s="180">
        <v>61</v>
      </c>
      <c r="F726" s="186">
        <f>$E$483/$E$481-1</f>
        <v>0.61666666666666647</v>
      </c>
      <c r="G726" s="180" t="s">
        <v>1767</v>
      </c>
      <c r="H726" s="180" t="s">
        <v>376</v>
      </c>
      <c r="I726" s="180" t="s">
        <v>1920</v>
      </c>
      <c r="J726" s="180"/>
      <c r="K726" s="180"/>
      <c r="L726" s="180"/>
      <c r="M726" s="180"/>
      <c r="N726" s="180"/>
      <c r="O726" s="180"/>
    </row>
    <row r="727" spans="1:15" ht="16" x14ac:dyDescent="0.2">
      <c r="A727" s="180" t="s">
        <v>333</v>
      </c>
      <c r="B727" s="180">
        <v>861</v>
      </c>
      <c r="C727" s="180" t="s">
        <v>1768</v>
      </c>
      <c r="D727" s="180" t="s">
        <v>378</v>
      </c>
      <c r="E727" s="180">
        <v>1</v>
      </c>
      <c r="F727" s="180"/>
      <c r="G727" s="180" t="s">
        <v>1769</v>
      </c>
      <c r="H727" s="180" t="s">
        <v>376</v>
      </c>
      <c r="I727" s="180"/>
      <c r="J727" s="180"/>
      <c r="K727" s="180"/>
      <c r="L727" s="180"/>
      <c r="M727" s="180"/>
      <c r="N727" s="180"/>
      <c r="O727" s="180"/>
    </row>
    <row r="728" spans="1:15" ht="16" x14ac:dyDescent="0.2">
      <c r="A728" s="180" t="s">
        <v>365</v>
      </c>
      <c r="B728" s="180">
        <v>862</v>
      </c>
      <c r="C728" s="180"/>
      <c r="D728" s="180" t="s">
        <v>1364</v>
      </c>
      <c r="E728" s="180">
        <v>1.9</v>
      </c>
      <c r="F728" s="184">
        <f>E729*E730/E731</f>
        <v>1.8956834313497564</v>
      </c>
      <c r="G728" s="180" t="s">
        <v>1770</v>
      </c>
      <c r="H728" s="180" t="s">
        <v>376</v>
      </c>
      <c r="I728" s="180"/>
      <c r="J728" s="180"/>
      <c r="K728" s="180"/>
      <c r="L728" s="180"/>
      <c r="M728" s="180"/>
      <c r="N728" s="180"/>
      <c r="O728" s="180"/>
    </row>
    <row r="729" spans="1:15" ht="16" x14ac:dyDescent="0.2">
      <c r="A729" s="180" t="s">
        <v>333</v>
      </c>
      <c r="B729" s="180">
        <v>863</v>
      </c>
      <c r="C729" s="180" t="s">
        <v>1771</v>
      </c>
      <c r="D729" s="180" t="s">
        <v>1772</v>
      </c>
      <c r="E729" s="180">
        <v>0.52</v>
      </c>
      <c r="F729" s="180"/>
      <c r="G729" s="180" t="s">
        <v>1773</v>
      </c>
      <c r="H729" s="180" t="s">
        <v>376</v>
      </c>
      <c r="I729" s="180"/>
      <c r="J729" s="180" t="s">
        <v>110</v>
      </c>
      <c r="K729" s="180"/>
      <c r="L729" s="180"/>
      <c r="M729" s="180"/>
      <c r="N729" s="180"/>
      <c r="O729" s="180"/>
    </row>
    <row r="730" spans="1:15" ht="16" x14ac:dyDescent="0.2">
      <c r="A730" s="180" t="s">
        <v>333</v>
      </c>
      <c r="B730" s="180">
        <v>864</v>
      </c>
      <c r="C730" s="180" t="s">
        <v>1774</v>
      </c>
      <c r="D730" s="180" t="s">
        <v>1775</v>
      </c>
      <c r="E730" s="180">
        <v>1270.1479999999999</v>
      </c>
      <c r="F730" s="180"/>
      <c r="G730" s="180" t="s">
        <v>1776</v>
      </c>
      <c r="H730" s="180" t="s">
        <v>376</v>
      </c>
      <c r="I730" s="180"/>
      <c r="J730" s="180" t="s">
        <v>1921</v>
      </c>
      <c r="K730" s="180"/>
      <c r="L730" s="180"/>
      <c r="M730" s="180"/>
      <c r="N730" s="180"/>
      <c r="O730" s="180"/>
    </row>
    <row r="731" spans="1:15" ht="16" x14ac:dyDescent="0.2">
      <c r="A731" s="180" t="s">
        <v>333</v>
      </c>
      <c r="B731" s="180">
        <v>865</v>
      </c>
      <c r="C731" s="180" t="s">
        <v>1777</v>
      </c>
      <c r="D731" s="180" t="s">
        <v>1778</v>
      </c>
      <c r="E731" s="180">
        <v>348.411</v>
      </c>
      <c r="F731" s="180"/>
      <c r="G731" s="180" t="s">
        <v>1779</v>
      </c>
      <c r="H731" s="180" t="s">
        <v>376</v>
      </c>
      <c r="I731" s="180"/>
      <c r="J731" s="180" t="s">
        <v>1921</v>
      </c>
      <c r="K731" s="180"/>
      <c r="L731" s="180"/>
      <c r="M731" s="180"/>
      <c r="N731" s="180"/>
      <c r="O731" s="180"/>
    </row>
    <row r="732" spans="1:15" ht="16" x14ac:dyDescent="0.2">
      <c r="A732" s="180" t="s">
        <v>333</v>
      </c>
      <c r="B732" s="180">
        <v>866</v>
      </c>
      <c r="C732" s="180" t="s">
        <v>1780</v>
      </c>
      <c r="D732" s="180" t="s">
        <v>1772</v>
      </c>
      <c r="E732" s="180">
        <v>0.52</v>
      </c>
      <c r="F732" s="180">
        <f>E729</f>
        <v>0.52</v>
      </c>
      <c r="G732" s="180" t="s">
        <v>1781</v>
      </c>
      <c r="H732" s="180" t="s">
        <v>376</v>
      </c>
      <c r="I732" s="180"/>
      <c r="J732" s="180"/>
      <c r="K732" s="180"/>
      <c r="L732" s="180"/>
      <c r="M732" s="180"/>
      <c r="N732" s="180"/>
      <c r="O732" s="180"/>
    </row>
    <row r="733" spans="1:15" ht="16" x14ac:dyDescent="0.2">
      <c r="A733" s="180" t="s">
        <v>333</v>
      </c>
      <c r="B733" s="180">
        <v>867</v>
      </c>
      <c r="C733" s="180" t="s">
        <v>1782</v>
      </c>
      <c r="D733" s="180" t="s">
        <v>347</v>
      </c>
      <c r="E733" s="180">
        <v>2</v>
      </c>
      <c r="F733" s="180"/>
      <c r="G733" s="180" t="s">
        <v>1783</v>
      </c>
      <c r="H733" s="180" t="s">
        <v>376</v>
      </c>
      <c r="I733" s="180"/>
      <c r="J733" s="180"/>
      <c r="K733" s="180"/>
      <c r="L733" s="180"/>
      <c r="M733" s="180"/>
      <c r="N733" s="180"/>
      <c r="O733" s="180"/>
    </row>
    <row r="734" spans="1:15" ht="16" x14ac:dyDescent="0.2">
      <c r="A734" s="180" t="s">
        <v>333</v>
      </c>
      <c r="B734" s="180">
        <v>868</v>
      </c>
      <c r="C734" s="180" t="s">
        <v>1784</v>
      </c>
      <c r="D734" s="180" t="s">
        <v>349</v>
      </c>
      <c r="E734" s="180">
        <v>2020</v>
      </c>
      <c r="F734" s="180"/>
      <c r="G734" s="180" t="s">
        <v>1785</v>
      </c>
      <c r="H734" s="180" t="s">
        <v>376</v>
      </c>
      <c r="I734" s="180"/>
      <c r="J734" s="180"/>
      <c r="K734" s="180"/>
      <c r="L734" s="180"/>
      <c r="M734" s="180"/>
      <c r="N734" s="180"/>
      <c r="O734" s="180"/>
    </row>
    <row r="735" spans="1:15" ht="16" x14ac:dyDescent="0.2">
      <c r="A735" s="180" t="s">
        <v>451</v>
      </c>
      <c r="B735" s="180">
        <v>869</v>
      </c>
      <c r="C735" s="180" t="s">
        <v>1786</v>
      </c>
      <c r="D735" s="180" t="s">
        <v>1368</v>
      </c>
      <c r="E735" s="180">
        <v>19</v>
      </c>
      <c r="F735" s="180"/>
      <c r="G735" s="180" t="s">
        <v>1787</v>
      </c>
      <c r="H735" s="180" t="s">
        <v>376</v>
      </c>
      <c r="I735" s="180"/>
      <c r="J735" s="180"/>
      <c r="K735" s="180"/>
      <c r="L735" s="180"/>
      <c r="M735" s="180"/>
      <c r="N735" s="180"/>
      <c r="O735" s="180"/>
    </row>
    <row r="736" spans="1:15" ht="16" x14ac:dyDescent="0.2">
      <c r="A736" s="180" t="s">
        <v>333</v>
      </c>
      <c r="B736" s="180">
        <v>870</v>
      </c>
      <c r="C736" s="180" t="s">
        <v>1788</v>
      </c>
      <c r="D736" s="180" t="s">
        <v>993</v>
      </c>
      <c r="E736" s="180">
        <v>4</v>
      </c>
      <c r="F736" s="180"/>
      <c r="G736" s="180" t="s">
        <v>1789</v>
      </c>
      <c r="H736" s="180" t="s">
        <v>376</v>
      </c>
      <c r="I736" s="180"/>
      <c r="J736" s="180"/>
      <c r="K736" s="180"/>
      <c r="L736" s="180"/>
      <c r="M736" s="180"/>
      <c r="N736" s="180"/>
      <c r="O736" s="180"/>
    </row>
    <row r="737" spans="1:15" ht="16" x14ac:dyDescent="0.2">
      <c r="A737" s="180" t="s">
        <v>1092</v>
      </c>
      <c r="B737" s="180">
        <v>871</v>
      </c>
      <c r="C737" s="180" t="s">
        <v>1790</v>
      </c>
      <c r="D737" s="181" t="s">
        <v>1368</v>
      </c>
      <c r="E737" s="180">
        <v>19</v>
      </c>
      <c r="F737" s="180"/>
      <c r="G737" s="180" t="s">
        <v>1791</v>
      </c>
      <c r="H737" s="180" t="s">
        <v>376</v>
      </c>
      <c r="I737" s="180"/>
      <c r="J737" s="180"/>
      <c r="K737" s="180"/>
      <c r="L737" s="180"/>
      <c r="M737" s="180"/>
      <c r="N737" s="180"/>
      <c r="O737" s="180"/>
    </row>
    <row r="738" spans="1:15" ht="16" x14ac:dyDescent="0.2">
      <c r="A738" s="180" t="s">
        <v>333</v>
      </c>
      <c r="B738" s="180">
        <v>872</v>
      </c>
      <c r="C738" s="180" t="s">
        <v>1792</v>
      </c>
      <c r="D738" s="180" t="s">
        <v>352</v>
      </c>
      <c r="E738" s="180">
        <v>2022</v>
      </c>
      <c r="F738" s="180"/>
      <c r="G738" s="180" t="s">
        <v>389</v>
      </c>
      <c r="H738" s="180" t="s">
        <v>376</v>
      </c>
      <c r="I738" s="180"/>
      <c r="J738" s="180"/>
      <c r="K738" s="180"/>
      <c r="L738" s="180"/>
      <c r="M738" s="180"/>
      <c r="N738" s="180"/>
      <c r="O738" s="180"/>
    </row>
    <row r="739" spans="1:15" ht="16" x14ac:dyDescent="0.2">
      <c r="A739" s="180" t="s">
        <v>333</v>
      </c>
      <c r="B739" s="180">
        <v>873</v>
      </c>
      <c r="C739" s="180" t="s">
        <v>1793</v>
      </c>
      <c r="D739" s="180" t="s">
        <v>655</v>
      </c>
      <c r="E739" s="180">
        <v>2021</v>
      </c>
      <c r="F739" s="180"/>
      <c r="G739" s="180" t="s">
        <v>1794</v>
      </c>
      <c r="H739" s="180" t="s">
        <v>376</v>
      </c>
      <c r="I739" s="180"/>
      <c r="J739" s="180"/>
      <c r="K739" s="180"/>
      <c r="L739" s="180"/>
      <c r="M739" s="180"/>
      <c r="N739" s="180"/>
      <c r="O739" s="180"/>
    </row>
    <row r="740" spans="1:15" ht="16" x14ac:dyDescent="0.2">
      <c r="A740" s="180" t="s">
        <v>333</v>
      </c>
      <c r="B740" s="180">
        <v>874</v>
      </c>
      <c r="C740" s="180" t="s">
        <v>1795</v>
      </c>
      <c r="D740" s="180" t="s">
        <v>1181</v>
      </c>
      <c r="E740" s="180">
        <v>13</v>
      </c>
      <c r="F740" s="180"/>
      <c r="G740" s="180" t="s">
        <v>1796</v>
      </c>
      <c r="H740" s="180" t="s">
        <v>376</v>
      </c>
      <c r="I740" s="180"/>
      <c r="J740" s="180" t="s">
        <v>157</v>
      </c>
      <c r="K740" s="180"/>
      <c r="L740" s="180"/>
      <c r="M740" s="180"/>
      <c r="N740" s="180"/>
      <c r="O740" s="180"/>
    </row>
    <row r="741" spans="1:15" ht="16" x14ac:dyDescent="0.2">
      <c r="A741" s="180" t="s">
        <v>333</v>
      </c>
      <c r="B741" s="180">
        <v>875</v>
      </c>
      <c r="C741" s="180" t="s">
        <v>546</v>
      </c>
      <c r="D741" s="180" t="s">
        <v>347</v>
      </c>
      <c r="E741" s="180">
        <v>2</v>
      </c>
      <c r="F741" s="180"/>
      <c r="G741" s="180" t="s">
        <v>1797</v>
      </c>
      <c r="H741" s="180" t="s">
        <v>376</v>
      </c>
      <c r="I741" s="180"/>
      <c r="J741" s="180"/>
      <c r="K741" s="180"/>
      <c r="L741" s="180"/>
      <c r="M741" s="180"/>
      <c r="N741" s="180"/>
      <c r="O741" s="180"/>
    </row>
    <row r="742" spans="1:15" ht="16" x14ac:dyDescent="0.2">
      <c r="A742" s="180" t="s">
        <v>333</v>
      </c>
      <c r="B742" s="180">
        <v>876</v>
      </c>
      <c r="C742" s="180" t="s">
        <v>1798</v>
      </c>
      <c r="D742" s="180" t="s">
        <v>364</v>
      </c>
      <c r="E742" s="180">
        <v>1</v>
      </c>
      <c r="F742" s="180"/>
      <c r="G742" s="180" t="s">
        <v>1799</v>
      </c>
      <c r="H742" s="180" t="s">
        <v>376</v>
      </c>
      <c r="I742" s="180"/>
      <c r="J742" s="180"/>
      <c r="K742" s="180"/>
      <c r="L742" s="180"/>
      <c r="M742" s="180"/>
      <c r="N742" s="180"/>
      <c r="O742" s="180"/>
    </row>
    <row r="743" spans="1:15" ht="16" x14ac:dyDescent="0.2">
      <c r="A743" s="180" t="s">
        <v>333</v>
      </c>
      <c r="B743" s="180">
        <v>877</v>
      </c>
      <c r="C743" s="180" t="s">
        <v>1800</v>
      </c>
      <c r="D743" s="180" t="s">
        <v>1624</v>
      </c>
      <c r="E743" s="180">
        <v>2000</v>
      </c>
      <c r="F743" s="180"/>
      <c r="G743" s="180" t="s">
        <v>1801</v>
      </c>
      <c r="H743" s="180" t="s">
        <v>376</v>
      </c>
      <c r="I743" s="180"/>
      <c r="J743" s="180"/>
      <c r="K743" s="180"/>
      <c r="L743" s="180"/>
      <c r="M743" s="180"/>
      <c r="N743" s="180"/>
      <c r="O743" s="180"/>
    </row>
    <row r="744" spans="1:15" ht="16" x14ac:dyDescent="0.2">
      <c r="A744" s="180" t="s">
        <v>333</v>
      </c>
      <c r="B744" s="180">
        <v>878</v>
      </c>
      <c r="C744" s="180" t="s">
        <v>1802</v>
      </c>
      <c r="D744" s="180" t="s">
        <v>986</v>
      </c>
      <c r="E744" s="180">
        <v>2018</v>
      </c>
      <c r="F744" s="180"/>
      <c r="G744" s="180" t="s">
        <v>389</v>
      </c>
      <c r="H744" s="180" t="s">
        <v>376</v>
      </c>
      <c r="I744" s="180"/>
      <c r="J744" s="180"/>
      <c r="K744" s="180"/>
      <c r="L744" s="180"/>
      <c r="M744" s="180"/>
      <c r="N744" s="180"/>
      <c r="O744" s="180"/>
    </row>
    <row r="745" spans="1:15" ht="16" x14ac:dyDescent="0.2">
      <c r="A745" s="180" t="s">
        <v>333</v>
      </c>
      <c r="B745" s="180">
        <v>879</v>
      </c>
      <c r="C745" s="180" t="s">
        <v>1803</v>
      </c>
      <c r="D745" s="180" t="s">
        <v>653</v>
      </c>
      <c r="E745" s="180">
        <v>2012</v>
      </c>
      <c r="F745" s="180"/>
      <c r="G745" s="180" t="s">
        <v>1804</v>
      </c>
      <c r="H745" s="180" t="s">
        <v>376</v>
      </c>
      <c r="I745" s="180"/>
      <c r="J745" s="180"/>
      <c r="K745" s="180"/>
      <c r="L745" s="180"/>
      <c r="M745" s="180"/>
      <c r="N745" s="180"/>
      <c r="O745" s="180"/>
    </row>
    <row r="746" spans="1:15" ht="16" x14ac:dyDescent="0.2">
      <c r="A746" s="180" t="s">
        <v>333</v>
      </c>
      <c r="B746" s="180">
        <v>880</v>
      </c>
      <c r="C746" s="180" t="s">
        <v>1805</v>
      </c>
      <c r="D746" s="180" t="s">
        <v>1458</v>
      </c>
      <c r="E746" s="180">
        <v>1971</v>
      </c>
      <c r="F746" s="180"/>
      <c r="G746" s="180" t="s">
        <v>1806</v>
      </c>
      <c r="H746" s="180" t="s">
        <v>376</v>
      </c>
      <c r="I746" s="180"/>
      <c r="J746" s="180"/>
      <c r="K746" s="180"/>
      <c r="L746" s="180"/>
      <c r="M746" s="180"/>
      <c r="N746" s="180"/>
      <c r="O746" s="180"/>
    </row>
    <row r="747" spans="1:15" ht="16" x14ac:dyDescent="0.2">
      <c r="A747" s="180" t="s">
        <v>373</v>
      </c>
      <c r="B747" s="180">
        <v>881</v>
      </c>
      <c r="C747" s="180" t="s">
        <v>1807</v>
      </c>
      <c r="D747" s="180" t="s">
        <v>378</v>
      </c>
      <c r="E747" s="180">
        <v>1</v>
      </c>
      <c r="F747" s="180"/>
      <c r="G747" s="180" t="s">
        <v>1808</v>
      </c>
      <c r="H747" s="180" t="s">
        <v>376</v>
      </c>
      <c r="I747" s="180"/>
      <c r="J747" s="180"/>
      <c r="K747" s="180"/>
      <c r="L747" s="180"/>
      <c r="M747" s="180"/>
      <c r="N747" s="180"/>
      <c r="O747" s="180"/>
    </row>
    <row r="748" spans="1:15" ht="16" x14ac:dyDescent="0.2">
      <c r="A748" s="180" t="s">
        <v>333</v>
      </c>
      <c r="B748" s="180">
        <v>882</v>
      </c>
      <c r="C748" s="180" t="s">
        <v>1809</v>
      </c>
      <c r="D748" s="180" t="s">
        <v>362</v>
      </c>
      <c r="E748" s="180">
        <v>0</v>
      </c>
      <c r="F748" s="180"/>
      <c r="G748" s="180" t="s">
        <v>363</v>
      </c>
      <c r="H748" s="180" t="s">
        <v>376</v>
      </c>
      <c r="I748" s="180"/>
      <c r="J748" s="180"/>
      <c r="K748" s="180"/>
      <c r="L748" s="180"/>
      <c r="M748" s="180"/>
      <c r="N748" s="180"/>
      <c r="O748" s="180"/>
    </row>
    <row r="749" spans="1:15" ht="16" x14ac:dyDescent="0.2">
      <c r="A749" s="180" t="s">
        <v>333</v>
      </c>
      <c r="B749" s="180">
        <v>883</v>
      </c>
      <c r="C749" s="180" t="s">
        <v>1810</v>
      </c>
      <c r="D749" s="180" t="s">
        <v>579</v>
      </c>
      <c r="E749" s="180">
        <v>2017</v>
      </c>
      <c r="F749" s="180"/>
      <c r="G749" s="180" t="s">
        <v>1811</v>
      </c>
      <c r="H749" s="180" t="s">
        <v>376</v>
      </c>
      <c r="I749" s="180"/>
      <c r="J749" s="180"/>
      <c r="K749" s="180"/>
      <c r="L749" s="180"/>
      <c r="M749" s="180"/>
      <c r="N749" s="180"/>
      <c r="O749" s="180"/>
    </row>
    <row r="750" spans="1:15" ht="16" x14ac:dyDescent="0.2">
      <c r="A750" s="180" t="s">
        <v>333</v>
      </c>
      <c r="B750" s="180">
        <v>884</v>
      </c>
      <c r="C750" s="180" t="s">
        <v>1812</v>
      </c>
      <c r="D750" s="180" t="s">
        <v>396</v>
      </c>
      <c r="E750" s="180">
        <v>15</v>
      </c>
      <c r="F750" s="180">
        <f>$E$675</f>
        <v>15</v>
      </c>
      <c r="G750" s="180" t="s">
        <v>1813</v>
      </c>
      <c r="H750" s="180" t="s">
        <v>376</v>
      </c>
      <c r="I750" s="180"/>
      <c r="J750" s="180" t="s">
        <v>166</v>
      </c>
      <c r="K750" s="180"/>
      <c r="L750" s="180"/>
      <c r="M750" s="180"/>
      <c r="N750" s="180"/>
      <c r="O750" s="180"/>
    </row>
    <row r="751" spans="1:15" ht="16" x14ac:dyDescent="0.2">
      <c r="A751" s="180" t="s">
        <v>333</v>
      </c>
      <c r="B751" s="180">
        <v>885</v>
      </c>
      <c r="C751" s="180" t="s">
        <v>1814</v>
      </c>
      <c r="D751" s="180" t="s">
        <v>352</v>
      </c>
      <c r="E751" s="180">
        <v>2022</v>
      </c>
      <c r="F751" s="180"/>
      <c r="G751" s="180" t="s">
        <v>1815</v>
      </c>
      <c r="H751" s="180" t="s">
        <v>376</v>
      </c>
      <c r="I751" s="180"/>
      <c r="J751" s="180"/>
      <c r="K751" s="180"/>
      <c r="L751" s="180"/>
      <c r="M751" s="180"/>
      <c r="N751" s="180"/>
      <c r="O751" s="180"/>
    </row>
    <row r="752" spans="1:15" ht="16" x14ac:dyDescent="0.2">
      <c r="A752" s="180" t="s">
        <v>333</v>
      </c>
      <c r="B752" s="180">
        <v>886</v>
      </c>
      <c r="C752" s="180" t="s">
        <v>1816</v>
      </c>
      <c r="D752" s="180" t="s">
        <v>1817</v>
      </c>
      <c r="E752" s="180">
        <v>62</v>
      </c>
      <c r="F752" s="180"/>
      <c r="G752" s="180" t="s">
        <v>339</v>
      </c>
      <c r="H752" s="180" t="s">
        <v>376</v>
      </c>
      <c r="I752" s="180"/>
      <c r="J752" s="180" t="s">
        <v>1922</v>
      </c>
      <c r="K752" s="180"/>
      <c r="L752" s="180"/>
      <c r="M752" s="180"/>
      <c r="N752" s="180"/>
      <c r="O752" s="180"/>
    </row>
    <row r="753" spans="1:15" ht="16" x14ac:dyDescent="0.2">
      <c r="A753" s="180" t="s">
        <v>333</v>
      </c>
      <c r="B753" s="180">
        <v>887</v>
      </c>
      <c r="C753" s="180" t="s">
        <v>1818</v>
      </c>
      <c r="D753" s="180" t="s">
        <v>497</v>
      </c>
      <c r="E753" s="180">
        <v>3</v>
      </c>
      <c r="F753" s="180"/>
      <c r="G753" s="180" t="s">
        <v>1819</v>
      </c>
      <c r="H753" s="180" t="s">
        <v>376</v>
      </c>
      <c r="I753" s="180"/>
      <c r="J753" s="180"/>
      <c r="K753" s="180"/>
      <c r="L753" s="180"/>
      <c r="M753" s="180"/>
      <c r="N753" s="180"/>
      <c r="O753" s="180"/>
    </row>
    <row r="754" spans="1:15" ht="16" x14ac:dyDescent="0.2">
      <c r="A754" s="180"/>
      <c r="B754" s="180"/>
      <c r="C754" s="180"/>
      <c r="D754" s="180"/>
      <c r="E754" s="180"/>
      <c r="F754" s="180"/>
      <c r="G754" s="180"/>
      <c r="H754" s="180"/>
      <c r="I754" s="180"/>
      <c r="J754" s="180"/>
      <c r="K754" s="180"/>
      <c r="L754" s="180"/>
      <c r="M754" s="180"/>
      <c r="N754" s="180"/>
      <c r="O754" s="180"/>
    </row>
    <row r="755" spans="1:15" ht="16" x14ac:dyDescent="0.2">
      <c r="A755" s="180"/>
      <c r="B755" s="180"/>
      <c r="C755" s="180"/>
      <c r="D755" s="180"/>
      <c r="E755" s="180"/>
      <c r="F755" s="180"/>
      <c r="G755" s="180"/>
      <c r="H755" s="180"/>
      <c r="I755" s="180"/>
      <c r="J755" s="180"/>
      <c r="K755" s="180"/>
      <c r="L755" s="180"/>
      <c r="M755" s="180"/>
      <c r="N755" s="180"/>
      <c r="O755" s="180"/>
    </row>
    <row r="756" spans="1:15" ht="16" x14ac:dyDescent="0.2">
      <c r="A756" s="180"/>
      <c r="B756" s="180"/>
      <c r="C756" s="180"/>
      <c r="D756" s="180"/>
      <c r="E756" s="180"/>
      <c r="F756" s="180"/>
      <c r="G756" s="180"/>
      <c r="H756" s="180"/>
      <c r="I756" s="180"/>
      <c r="J756" s="180"/>
      <c r="K756" s="180"/>
      <c r="L756" s="180"/>
      <c r="M756" s="180"/>
      <c r="N756" s="180"/>
      <c r="O756" s="180"/>
    </row>
  </sheetData>
  <autoFilter ref="A4:J753" xr:uid="{00000000-0001-0000-0000-000000000000}">
    <sortState xmlns:xlrd2="http://schemas.microsoft.com/office/spreadsheetml/2017/richdata2" ref="A5:J753">
      <sortCondition ref="B4:B753"/>
    </sortState>
  </autoFilter>
  <hyperlinks>
    <hyperlink ref="J45" r:id="rId1" xr:uid="{DBB1CAF9-E482-0A47-A142-2E261E09B15D}"/>
    <hyperlink ref="J97" r:id="rId2" xr:uid="{140F1CB1-7433-484D-9077-10B0CDB09E4B}"/>
    <hyperlink ref="J188" r:id="rId3" xr:uid="{21C3C33F-A26B-C644-8604-4329F4FDE7C1}"/>
    <hyperlink ref="J622" r:id="rId4" xr:uid="{FEBE0FBF-AFDF-E144-8D2B-C2E4CAF1133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0AFC8-D5E4-4542-8B6F-87A117CE7185}">
  <dimension ref="A1:U42"/>
  <sheetViews>
    <sheetView showGridLines="0" zoomScaleNormal="100" workbookViewId="0"/>
  </sheetViews>
  <sheetFormatPr baseColWidth="10" defaultRowHeight="16" x14ac:dyDescent="0.2"/>
  <cols>
    <col min="1" max="1" width="25.83203125" customWidth="1"/>
    <col min="2" max="2" width="1.83203125" customWidth="1"/>
    <col min="3" max="3" width="12.83203125" customWidth="1"/>
    <col min="4" max="4" width="10.83203125" customWidth="1"/>
    <col min="5" max="5" width="1" customWidth="1"/>
    <col min="6" max="7" width="10.83203125" customWidth="1"/>
    <col min="8" max="8" width="1" customWidth="1"/>
    <col min="9" max="9" width="9.83203125" customWidth="1"/>
    <col min="12" max="12" width="21.83203125" customWidth="1"/>
    <col min="13" max="13" width="1" customWidth="1"/>
    <col min="14" max="14" width="11.83203125" customWidth="1"/>
    <col min="16" max="16" width="1" customWidth="1"/>
    <col min="17" max="17" width="11.83203125" customWidth="1"/>
    <col min="19" max="19" width="1" customWidth="1"/>
    <col min="20" max="20" width="11.83203125" customWidth="1"/>
    <col min="23" max="23" width="20.5" bestFit="1" customWidth="1"/>
  </cols>
  <sheetData>
    <row r="1" spans="1:21" x14ac:dyDescent="0.2">
      <c r="A1" s="17" t="s">
        <v>265</v>
      </c>
      <c r="B1" s="17"/>
      <c r="L1" s="198" t="s">
        <v>264</v>
      </c>
      <c r="M1" s="198"/>
      <c r="N1" s="198"/>
      <c r="O1" s="198"/>
      <c r="P1" s="198"/>
      <c r="Q1" s="198"/>
      <c r="R1" s="198"/>
      <c r="S1" s="198"/>
      <c r="T1" s="198"/>
      <c r="U1" s="198"/>
    </row>
    <row r="2" spans="1:21" x14ac:dyDescent="0.2">
      <c r="C2" s="200" t="s">
        <v>248</v>
      </c>
      <c r="D2" s="200"/>
      <c r="E2" s="111"/>
      <c r="F2" s="200" t="s">
        <v>247</v>
      </c>
      <c r="G2" s="200"/>
      <c r="H2" s="111"/>
      <c r="I2" s="200" t="s">
        <v>246</v>
      </c>
      <c r="J2" s="200"/>
      <c r="L2" s="199" t="s">
        <v>263</v>
      </c>
      <c r="M2" s="199"/>
      <c r="N2" s="199"/>
      <c r="O2" s="199"/>
      <c r="P2" s="199"/>
      <c r="Q2" s="199"/>
      <c r="R2" s="199"/>
      <c r="S2" s="199"/>
      <c r="T2" s="199"/>
      <c r="U2" s="199"/>
    </row>
    <row r="3" spans="1:21" x14ac:dyDescent="0.2">
      <c r="A3" s="5" t="s">
        <v>13</v>
      </c>
      <c r="C3" s="6" t="s">
        <v>169</v>
      </c>
      <c r="D3" s="6" t="s">
        <v>245</v>
      </c>
      <c r="E3" s="111"/>
      <c r="F3" s="6" t="s">
        <v>169</v>
      </c>
      <c r="G3" s="6" t="s">
        <v>245</v>
      </c>
      <c r="H3" s="111"/>
      <c r="I3" s="6" t="s">
        <v>169</v>
      </c>
      <c r="J3" s="6" t="s">
        <v>245</v>
      </c>
      <c r="N3" s="200" t="s">
        <v>248</v>
      </c>
      <c r="O3" s="200"/>
      <c r="P3" s="111"/>
      <c r="Q3" s="200" t="s">
        <v>247</v>
      </c>
      <c r="R3" s="200"/>
      <c r="S3" s="111"/>
      <c r="T3" s="200" t="s">
        <v>246</v>
      </c>
      <c r="U3" s="200"/>
    </row>
    <row r="4" spans="1:21" x14ac:dyDescent="0.2">
      <c r="A4" t="s">
        <v>262</v>
      </c>
      <c r="L4" s="5" t="s">
        <v>261</v>
      </c>
      <c r="N4" s="6" t="s">
        <v>169</v>
      </c>
      <c r="O4" s="6" t="s">
        <v>245</v>
      </c>
      <c r="P4" s="111"/>
      <c r="Q4" s="6" t="s">
        <v>169</v>
      </c>
      <c r="R4" s="6" t="s">
        <v>245</v>
      </c>
      <c r="S4" s="111"/>
      <c r="T4" s="6" t="s">
        <v>169</v>
      </c>
      <c r="U4" s="6" t="s">
        <v>245</v>
      </c>
    </row>
    <row r="5" spans="1:21" x14ac:dyDescent="0.2">
      <c r="A5" s="14" t="s">
        <v>41</v>
      </c>
      <c r="B5" s="14"/>
      <c r="C5" s="8">
        <f>PartD!I35</f>
        <v>-4.9569402718106392E-2</v>
      </c>
      <c r="D5" s="8">
        <f>InsulinAct!I46</f>
        <v>-6.5206257732224548E-2</v>
      </c>
      <c r="F5" s="8">
        <f>PartD!J35</f>
        <v>-9.4105347954008267E-2</v>
      </c>
      <c r="G5" s="8">
        <f>InsulinAct!J46</f>
        <v>-0.11553343970007057</v>
      </c>
      <c r="I5" s="8">
        <f>PartD!K35</f>
        <v>-0.18531940985817874</v>
      </c>
      <c r="J5" s="8">
        <f>InsulinAct!K46</f>
        <v>-0.1575758271942973</v>
      </c>
      <c r="L5" t="s">
        <v>260</v>
      </c>
      <c r="N5" s="8">
        <f>PartD!I61</f>
        <v>0.2703836193313035</v>
      </c>
      <c r="O5" s="8">
        <f>InsulinAct!I72</f>
        <v>0.26166666666666633</v>
      </c>
      <c r="Q5" s="8">
        <f>PartD!J61</f>
        <v>0.54234766164613513</v>
      </c>
      <c r="R5" s="8">
        <f>InsulinAct!J72</f>
        <v>0.52333333333333254</v>
      </c>
      <c r="T5" s="8">
        <f>PartD!K61</f>
        <v>1.2046571969596358</v>
      </c>
      <c r="U5" s="8">
        <f>InsulinAct!K72</f>
        <v>0.78926281350277006</v>
      </c>
    </row>
    <row r="6" spans="1:21" x14ac:dyDescent="0.2">
      <c r="A6" s="14" t="s">
        <v>57</v>
      </c>
      <c r="B6" s="14"/>
      <c r="C6" s="8">
        <f>PartD!I42</f>
        <v>-3.511166025865875E-3</v>
      </c>
      <c r="D6" s="8">
        <f>InsulinAct!I53</f>
        <v>-3.4208238168626615E-2</v>
      </c>
      <c r="F6" s="8">
        <f>PartD!J42</f>
        <v>-6.6657954800756203E-3</v>
      </c>
      <c r="G6" s="8">
        <f>InsulinAct!J53</f>
        <v>-6.0610676937338126E-2</v>
      </c>
      <c r="I6" s="8">
        <f>PartD!K42</f>
        <v>-1.3126791531620885E-2</v>
      </c>
      <c r="J6" s="8">
        <f>InsulinAct!K53</f>
        <v>-8.2666780977018961E-2</v>
      </c>
      <c r="L6" t="s">
        <v>259</v>
      </c>
      <c r="N6" s="8">
        <f>PartD!I62</f>
        <v>-0.11566193967558157</v>
      </c>
      <c r="O6" s="8">
        <f>InsulinAct!I73</f>
        <v>-3.7916231347997237E-2</v>
      </c>
      <c r="Q6" s="8">
        <f>PartD!J62</f>
        <v>-0.21957914522601918</v>
      </c>
      <c r="R6" s="8">
        <f>InsulinAct!J73</f>
        <v>-6.7180555677448447E-2</v>
      </c>
      <c r="T6" s="8">
        <f>PartD!K62</f>
        <v>-0.43241195633575041</v>
      </c>
      <c r="U6" s="8">
        <f>InsulinAct!K73</f>
        <v>-9.1627425442609933E-2</v>
      </c>
    </row>
    <row r="7" spans="1:21" x14ac:dyDescent="0.2">
      <c r="A7" t="s">
        <v>258</v>
      </c>
      <c r="C7" s="8">
        <f>PartD!I38</f>
        <v>0.11587869399913009</v>
      </c>
      <c r="D7" s="8">
        <f>InsulinAct!I49</f>
        <v>0.44999999999999929</v>
      </c>
      <c r="E7" s="8"/>
      <c r="F7" s="8">
        <f>PartD!J38</f>
        <v>0.23243471213405797</v>
      </c>
      <c r="G7" s="8">
        <f>InsulinAct!J49</f>
        <v>0.89999999999999858</v>
      </c>
      <c r="H7" s="163"/>
      <c r="I7" s="8">
        <f>PartD!K38</f>
        <v>0.51628165583984398</v>
      </c>
      <c r="J7" s="8">
        <f>InsulinAct!K49</f>
        <v>1.3573309531576299</v>
      </c>
      <c r="L7" t="s">
        <v>257</v>
      </c>
      <c r="N7" s="8">
        <f>PartD!I63</f>
        <v>9.016000682159327E-3</v>
      </c>
      <c r="O7" s="8">
        <f>InsulinAct!I74</f>
        <v>3.3129042362160729E-3</v>
      </c>
      <c r="Q7" s="8">
        <f>PartD!J63</f>
        <v>1.7116483855437088E-2</v>
      </c>
      <c r="R7" s="8">
        <f>InsulinAct!J74</f>
        <v>5.8698541385211979E-3</v>
      </c>
      <c r="T7" s="8">
        <f>PartD!K63</f>
        <v>3.3707082072391391E-2</v>
      </c>
      <c r="U7" s="8">
        <f>InsulinAct!K74</f>
        <v>8.0058823124157536E-3</v>
      </c>
    </row>
    <row r="8" spans="1:21" x14ac:dyDescent="0.2">
      <c r="A8" t="s">
        <v>271</v>
      </c>
      <c r="L8" t="s">
        <v>256</v>
      </c>
      <c r="N8" s="8">
        <f>PartD!I64</f>
        <v>-1.3402754515012556E-2</v>
      </c>
      <c r="O8" s="8">
        <f>InsulinAct!I75</f>
        <v>-1.7062304106598734E-2</v>
      </c>
      <c r="Q8" s="8">
        <f>PartD!J64</f>
        <v>-5.1037815411252269E-2</v>
      </c>
      <c r="R8" s="8">
        <f>InsulinAct!J75</f>
        <v>-6.0462500109703506E-2</v>
      </c>
      <c r="T8" s="8">
        <f>PartD!K64</f>
        <v>-0.22324636082196753</v>
      </c>
      <c r="U8" s="8">
        <f>InsulinAct!K75</f>
        <v>-0.12436874071139739</v>
      </c>
    </row>
    <row r="9" spans="1:21" x14ac:dyDescent="0.2">
      <c r="A9" s="14" t="s">
        <v>9</v>
      </c>
      <c r="B9" s="14"/>
      <c r="C9" s="8">
        <f>PartD!C24</f>
        <v>0.3</v>
      </c>
      <c r="D9" s="163">
        <f>InsulinAct!C24</f>
        <v>0.75</v>
      </c>
      <c r="F9" s="163">
        <f>C9</f>
        <v>0.3</v>
      </c>
      <c r="G9" s="163">
        <f>D9</f>
        <v>0.75</v>
      </c>
      <c r="I9" s="163">
        <f>C9</f>
        <v>0.3</v>
      </c>
      <c r="J9" s="163">
        <f>D9</f>
        <v>0.75</v>
      </c>
      <c r="L9" t="s">
        <v>130</v>
      </c>
      <c r="N9" s="8">
        <f>PartD!I65</f>
        <v>0.33816842607068542</v>
      </c>
      <c r="O9" s="8">
        <f>InsulinAct!I76</f>
        <v>0.18607407407407409</v>
      </c>
      <c r="Q9" s="8">
        <f>PartD!J65</f>
        <v>0.33816842607068542</v>
      </c>
      <c r="R9" s="8">
        <f>InsulinAct!J76</f>
        <v>0.18607407407407409</v>
      </c>
      <c r="T9" s="8">
        <f>PartD!K65</f>
        <v>0.33816842607068542</v>
      </c>
      <c r="U9" s="8">
        <f>InsulinAct!K76</f>
        <v>0.18607407407407409</v>
      </c>
    </row>
    <row r="10" spans="1:21" x14ac:dyDescent="0.2">
      <c r="A10" s="14" t="s">
        <v>255</v>
      </c>
      <c r="B10" s="14"/>
      <c r="C10" s="8">
        <f>PartD!D24</f>
        <v>0.255</v>
      </c>
      <c r="D10" s="163">
        <f>InsulinAct!D24</f>
        <v>0.30575494835107031</v>
      </c>
      <c r="F10" s="8">
        <f>PartD!E24</f>
        <v>0.21</v>
      </c>
      <c r="G10" s="163">
        <f>InsulinAct!E24</f>
        <v>0.19035317621045456</v>
      </c>
      <c r="I10" s="8">
        <f>PartD!F24</f>
        <v>0.10145052782120562</v>
      </c>
      <c r="J10" s="8">
        <f>InsulinAct!F24</f>
        <v>0.08</v>
      </c>
      <c r="L10" t="s">
        <v>254</v>
      </c>
      <c r="N10" s="8">
        <f>PartD!I66</f>
        <v>2.9365177140248663E-2</v>
      </c>
      <c r="O10" s="8">
        <f>InsulinAct!I77</f>
        <v>1.8526980186979156E-2</v>
      </c>
      <c r="Q10" s="8">
        <f>PartD!J66</f>
        <v>3.9158625160668994E-2</v>
      </c>
      <c r="R10" s="8">
        <f>InsulinAct!J77</f>
        <v>1.9056805150380909E-2</v>
      </c>
      <c r="T10" s="8">
        <f>PartD!K66</f>
        <v>1.0202603143509214E-2</v>
      </c>
      <c r="U10" s="8">
        <f>InsulinAct!K77</f>
        <v>1.0302824195049824E-2</v>
      </c>
    </row>
    <row r="11" spans="1:21" x14ac:dyDescent="0.2">
      <c r="L11" s="5" t="s">
        <v>253</v>
      </c>
      <c r="N11" s="165">
        <f>PartD!I67</f>
        <v>7.9882014009172841E-3</v>
      </c>
      <c r="O11" s="165">
        <f>InsulinAct!I78</f>
        <v>9.0607596114919406E-2</v>
      </c>
      <c r="Q11" s="165">
        <f>PartD!J67</f>
        <v>1.5165251771037221E-2</v>
      </c>
      <c r="R11" s="165">
        <f>InsulinAct!J78</f>
        <v>0.16053991758122388</v>
      </c>
      <c r="T11" s="165">
        <f>PartD!K67</f>
        <v>2.9864567420045066E-2</v>
      </c>
      <c r="U11" s="165">
        <f>InsulinAct!K78</f>
        <v>0.21896007230666897</v>
      </c>
    </row>
    <row r="12" spans="1:21" ht="16" customHeight="1" x14ac:dyDescent="0.2">
      <c r="A12" s="203" t="s">
        <v>252</v>
      </c>
      <c r="B12" s="203"/>
      <c r="C12" s="203"/>
      <c r="D12" s="203"/>
      <c r="E12" s="203"/>
      <c r="F12" s="203"/>
      <c r="G12" s="203"/>
      <c r="H12" s="203"/>
      <c r="I12" s="203"/>
      <c r="J12" s="203"/>
      <c r="L12" t="s">
        <v>273</v>
      </c>
    </row>
    <row r="13" spans="1:21" x14ac:dyDescent="0.2">
      <c r="A13" s="203"/>
      <c r="B13" s="203"/>
      <c r="C13" s="203"/>
      <c r="D13" s="203"/>
      <c r="E13" s="203"/>
      <c r="F13" s="203"/>
      <c r="G13" s="203"/>
      <c r="H13" s="203"/>
      <c r="I13" s="203"/>
      <c r="J13" s="203"/>
      <c r="L13" s="14" t="s">
        <v>251</v>
      </c>
      <c r="N13" s="163">
        <f>SUM(N5:N11)</f>
        <v>0.52585673043472003</v>
      </c>
      <c r="O13" s="163">
        <f>SUM(O5:O11)</f>
        <v>0.50520968582425907</v>
      </c>
      <c r="Q13" s="163">
        <f>SUM(Q5:Q11)</f>
        <v>0.68133948786669241</v>
      </c>
      <c r="R13" s="163">
        <f>SUM(R5:R11)</f>
        <v>0.76723092849038066</v>
      </c>
      <c r="T13" s="163">
        <f>SUM(T5:T11)</f>
        <v>0.96094155850854879</v>
      </c>
      <c r="U13" s="163">
        <f>SUM(U5:U11)</f>
        <v>0.99660950023697126</v>
      </c>
    </row>
    <row r="14" spans="1:21" x14ac:dyDescent="0.2">
      <c r="A14" s="203"/>
      <c r="B14" s="203"/>
      <c r="C14" s="203"/>
      <c r="D14" s="203"/>
      <c r="E14" s="203"/>
      <c r="F14" s="203"/>
      <c r="G14" s="203"/>
      <c r="H14" s="203"/>
      <c r="I14" s="203"/>
      <c r="J14" s="203"/>
      <c r="L14" s="14" t="s">
        <v>250</v>
      </c>
      <c r="N14" s="163">
        <f>N13*BackgroundInfo1!$B$8/(1-BackgroundInfo1!$C$41)</f>
        <v>0.16948106530672558</v>
      </c>
      <c r="O14" s="163">
        <f>O13*BackgroundInfo1!$B$8/(1-BackgroundInfo1!$C$41)</f>
        <v>0.16282662330096556</v>
      </c>
      <c r="Q14" s="163">
        <f>Q13*BackgroundInfo1!$B$8/(1-BackgroundInfo1!$C$41)</f>
        <v>0.21959240142029679</v>
      </c>
      <c r="R14" s="163">
        <f>R13*BackgroundInfo1!$B$8/(1-BackgroundInfo1!$C$41)</f>
        <v>0.24727479477028388</v>
      </c>
      <c r="T14" s="163">
        <f>T13*BackgroundInfo1!$B$8/(1-BackgroundInfo1!$C$41)</f>
        <v>0.30970678819475844</v>
      </c>
      <c r="U14" s="163">
        <f>U13*BackgroundInfo1!$B$8/(1-BackgroundInfo1!$C$41)</f>
        <v>0.32120239224728026</v>
      </c>
    </row>
    <row r="16" spans="1:21" x14ac:dyDescent="0.2">
      <c r="A16" s="17" t="s">
        <v>249</v>
      </c>
      <c r="B16" s="17"/>
      <c r="L16" s="201" t="s">
        <v>269</v>
      </c>
      <c r="M16" s="201"/>
      <c r="N16" s="201"/>
      <c r="O16" s="201"/>
      <c r="P16" s="201"/>
      <c r="Q16" s="201"/>
      <c r="R16" s="201"/>
      <c r="S16" s="201"/>
      <c r="T16" s="201"/>
      <c r="U16" s="201"/>
    </row>
    <row r="17" spans="1:21" x14ac:dyDescent="0.2">
      <c r="A17" s="199" t="s">
        <v>318</v>
      </c>
      <c r="B17" s="199"/>
      <c r="C17" s="199"/>
      <c r="D17" s="199"/>
      <c r="E17" s="199"/>
      <c r="F17" s="199"/>
      <c r="G17" s="199"/>
      <c r="H17" s="199"/>
      <c r="I17" s="199"/>
      <c r="J17" s="199"/>
    </row>
    <row r="18" spans="1:21" x14ac:dyDescent="0.2">
      <c r="C18" s="200" t="s">
        <v>248</v>
      </c>
      <c r="D18" s="200"/>
      <c r="E18" s="111"/>
      <c r="F18" s="200" t="s">
        <v>247</v>
      </c>
      <c r="G18" s="200"/>
      <c r="H18" s="111"/>
      <c r="I18" s="200" t="s">
        <v>246</v>
      </c>
      <c r="J18" s="200"/>
      <c r="L18" s="14"/>
      <c r="M18" s="163"/>
      <c r="N18" s="163"/>
      <c r="O18" s="3"/>
      <c r="Q18" s="163"/>
      <c r="R18" s="3"/>
      <c r="T18" s="163"/>
      <c r="U18" s="3"/>
    </row>
    <row r="19" spans="1:21" x14ac:dyDescent="0.2">
      <c r="A19" s="5" t="s">
        <v>13</v>
      </c>
      <c r="B19" s="111"/>
      <c r="C19" s="6" t="s">
        <v>169</v>
      </c>
      <c r="D19" s="6" t="s">
        <v>245</v>
      </c>
      <c r="E19" s="111"/>
      <c r="F19" s="6" t="s">
        <v>169</v>
      </c>
      <c r="G19" s="6" t="s">
        <v>245</v>
      </c>
      <c r="H19" s="111"/>
      <c r="I19" s="6" t="s">
        <v>169</v>
      </c>
      <c r="J19" s="6" t="s">
        <v>245</v>
      </c>
      <c r="L19" s="14"/>
      <c r="M19" s="163"/>
    </row>
    <row r="20" spans="1:21" x14ac:dyDescent="0.2">
      <c r="A20" s="154" t="s">
        <v>228</v>
      </c>
      <c r="B20" s="154"/>
      <c r="C20" s="166">
        <f>-PartD!I55</f>
        <v>7.391374414902116E-2</v>
      </c>
      <c r="D20" s="166">
        <f>-InsulinAct!I66</f>
        <v>3.4935819056098341E-2</v>
      </c>
      <c r="E20" s="17"/>
      <c r="F20" s="166">
        <f>-PartD!J55</f>
        <v>0.14715314579037098</v>
      </c>
      <c r="G20" s="166">
        <f>-InsulinAct!J66</f>
        <v>7.056955155212763E-2</v>
      </c>
      <c r="H20" s="17"/>
      <c r="I20" s="166">
        <f>-PartD!K55</f>
        <v>0.31733697947721662</v>
      </c>
      <c r="J20" s="166">
        <f>-InsulinAct!K66</f>
        <v>0.10612774945242424</v>
      </c>
    </row>
    <row r="21" spans="1:21" x14ac:dyDescent="0.2">
      <c r="A21" s="14" t="s">
        <v>244</v>
      </c>
      <c r="B21" s="14"/>
      <c r="C21" s="8">
        <f>-PartD!I56</f>
        <v>-0.17572104021165283</v>
      </c>
      <c r="D21" s="8">
        <f>-InsulinAct!I67</f>
        <v>-0.21600832215794677</v>
      </c>
      <c r="F21" s="8">
        <f>-PartD!J56</f>
        <v>-0.33704161523382797</v>
      </c>
      <c r="G21" s="8">
        <f>-InsulinAct!J67</f>
        <v>-0.41220393369035785</v>
      </c>
      <c r="I21" s="8">
        <f>-PartD!K56</f>
        <v>-0.67761410034585279</v>
      </c>
      <c r="J21" s="8">
        <f>-InsulinAct!K67</f>
        <v>-0.59578958991566133</v>
      </c>
      <c r="L21" s="201"/>
      <c r="M21" s="201"/>
      <c r="N21" s="201"/>
      <c r="O21" s="201"/>
      <c r="P21" s="201"/>
      <c r="Q21" s="201"/>
      <c r="R21" s="201"/>
      <c r="S21" s="201"/>
      <c r="T21" s="201"/>
      <c r="U21" s="201"/>
    </row>
    <row r="22" spans="1:21" x14ac:dyDescent="0.2">
      <c r="A22" s="14" t="s">
        <v>243</v>
      </c>
      <c r="B22" s="14"/>
      <c r="C22" s="8">
        <f>-PartD!I57</f>
        <v>0.24963478436067399</v>
      </c>
      <c r="D22" s="8">
        <f>-InsulinAct!I68</f>
        <v>0.25094414121404524</v>
      </c>
      <c r="F22" s="8">
        <f>-PartD!J57</f>
        <v>0.48419476102419895</v>
      </c>
      <c r="G22" s="8">
        <f>-InsulinAct!J68</f>
        <v>0.48277348524248559</v>
      </c>
      <c r="I22" s="8">
        <f>-PartD!K57</f>
        <v>0.99495107982306941</v>
      </c>
      <c r="J22" s="8">
        <f>-InsulinAct!K68</f>
        <v>0.70191733936808598</v>
      </c>
    </row>
    <row r="23" spans="1:21" x14ac:dyDescent="0.2">
      <c r="A23" s="154" t="s">
        <v>221</v>
      </c>
      <c r="B23" s="17"/>
      <c r="C23" s="167">
        <f>SUM(C24:C26)</f>
        <v>0.22789139794122426</v>
      </c>
      <c r="D23" s="167">
        <f>SUM(D24:D26)</f>
        <v>0.25335466715455063</v>
      </c>
      <c r="E23" s="17"/>
      <c r="F23" s="167">
        <f>SUM(F24:F26)</f>
        <v>0.31508761085916392</v>
      </c>
      <c r="G23" s="167">
        <f>SUM(G24:G26)</f>
        <v>0.39191800392539294</v>
      </c>
      <c r="H23" s="17"/>
      <c r="I23" s="167">
        <f>SUM(I24:I26)</f>
        <v>0.46622318686638625</v>
      </c>
      <c r="J23" s="167">
        <f>SUM(J24:J26)</f>
        <v>0.49247239643194174</v>
      </c>
      <c r="N23" s="38"/>
      <c r="O23" s="38"/>
      <c r="R23" s="38"/>
      <c r="T23" s="38"/>
      <c r="U23" s="38"/>
    </row>
    <row r="24" spans="1:21" x14ac:dyDescent="0.2">
      <c r="A24" s="14" t="s">
        <v>222</v>
      </c>
      <c r="B24" s="78"/>
      <c r="C24" s="163">
        <f>-PartD!I59</f>
        <v>3.6691538447675572E-3</v>
      </c>
      <c r="D24" s="8">
        <f>-InsulinAct!I70</f>
        <v>8.5594089540662662E-3</v>
      </c>
      <c r="F24" s="163">
        <f>-PartD!J59</f>
        <v>6.965728459998476E-3</v>
      </c>
      <c r="G24" s="8">
        <f>-InsulinAct!J70</f>
        <v>1.5165691034192717E-2</v>
      </c>
      <c r="I24" s="163">
        <f>-PartD!K59</f>
        <v>1.3717442371820454E-2</v>
      </c>
      <c r="J24" s="8">
        <f>-InsulinAct!K70</f>
        <v>2.0684455651021293E-2</v>
      </c>
    </row>
    <row r="25" spans="1:21" x14ac:dyDescent="0.2">
      <c r="A25" s="14" t="s">
        <v>223</v>
      </c>
      <c r="B25" s="78"/>
      <c r="C25" s="163">
        <f>PartD!I69</f>
        <v>0.19588163208693374</v>
      </c>
      <c r="D25" s="8">
        <f>InsulinAct!I80</f>
        <v>0.2062596785608847</v>
      </c>
      <c r="F25" s="163">
        <f>PartD!J69</f>
        <v>0.25379895923034274</v>
      </c>
      <c r="G25" s="8">
        <f>InsulinAct!J80</f>
        <v>0.31240240957365756</v>
      </c>
      <c r="I25" s="163">
        <f>PartD!K69</f>
        <v>0.35795073054443449</v>
      </c>
      <c r="J25" s="8">
        <f>InsulinAct!K80</f>
        <v>0.40542334431074217</v>
      </c>
    </row>
    <row r="26" spans="1:21" x14ac:dyDescent="0.2">
      <c r="A26" s="155" t="s">
        <v>224</v>
      </c>
      <c r="B26" s="111"/>
      <c r="C26" s="164">
        <f>-PartD!I70</f>
        <v>2.8340612009522939E-2</v>
      </c>
      <c r="D26" s="165">
        <f>-InsulinAct!I81</f>
        <v>3.8535579639599658E-2</v>
      </c>
      <c r="F26" s="164">
        <f>-PartD!J70</f>
        <v>5.4322923168822722E-2</v>
      </c>
      <c r="G26" s="165">
        <f>-InsulinAct!J81</f>
        <v>6.4349903317542659E-2</v>
      </c>
      <c r="I26" s="164">
        <f>-PartD!K70</f>
        <v>9.4555013950131314E-2</v>
      </c>
      <c r="J26" s="165">
        <f>-InsulinAct!K81</f>
        <v>6.6364596470178311E-2</v>
      </c>
      <c r="M26" s="8"/>
      <c r="N26" s="8"/>
    </row>
    <row r="27" spans="1:21" x14ac:dyDescent="0.2">
      <c r="A27" s="154" t="s">
        <v>272</v>
      </c>
      <c r="B27" s="154"/>
      <c r="C27" s="167">
        <f>C20+C23</f>
        <v>0.30180514209024545</v>
      </c>
      <c r="D27" s="167">
        <f>D20+D23</f>
        <v>0.28829048621064896</v>
      </c>
      <c r="E27" s="17"/>
      <c r="F27" s="167">
        <f>F20+F23</f>
        <v>0.4622407566495349</v>
      </c>
      <c r="G27" s="167">
        <f>G20+G23</f>
        <v>0.46248755547752057</v>
      </c>
      <c r="H27" s="17"/>
      <c r="I27" s="167">
        <f>I20+I23</f>
        <v>0.78356016634360293</v>
      </c>
      <c r="J27" s="167">
        <f>J20+J23</f>
        <v>0.59860014588436594</v>
      </c>
      <c r="M27" s="162"/>
      <c r="N27" s="162"/>
    </row>
    <row r="28" spans="1:21" x14ac:dyDescent="0.2">
      <c r="A28" s="14" t="s">
        <v>242</v>
      </c>
      <c r="B28" s="14"/>
      <c r="C28" s="161">
        <f>C27*31</f>
        <v>9.3559594047976091</v>
      </c>
      <c r="F28" s="161">
        <f>F27*31</f>
        <v>14.329463456135581</v>
      </c>
      <c r="G28" s="161"/>
      <c r="H28" s="161"/>
      <c r="I28" s="161">
        <f>I27*31</f>
        <v>24.290365156651692</v>
      </c>
      <c r="J28" s="161"/>
      <c r="M28" s="3"/>
      <c r="N28" s="3"/>
    </row>
    <row r="30" spans="1:21" ht="16" customHeight="1" x14ac:dyDescent="0.2">
      <c r="A30" s="202" t="s">
        <v>266</v>
      </c>
      <c r="B30" s="202"/>
      <c r="C30" s="202"/>
      <c r="D30" s="202"/>
      <c r="E30" s="202"/>
      <c r="F30" s="202"/>
      <c r="G30" s="202"/>
      <c r="H30" s="202"/>
      <c r="I30" s="202"/>
      <c r="J30" s="202"/>
    </row>
    <row r="31" spans="1:21" x14ac:dyDescent="0.2">
      <c r="A31" s="202"/>
      <c r="B31" s="202"/>
      <c r="C31" s="202"/>
      <c r="D31" s="202"/>
      <c r="E31" s="202"/>
      <c r="F31" s="202"/>
      <c r="G31" s="202"/>
      <c r="H31" s="202"/>
      <c r="I31" s="202"/>
      <c r="J31" s="202"/>
    </row>
    <row r="32" spans="1:21" x14ac:dyDescent="0.2">
      <c r="A32" s="202"/>
      <c r="B32" s="202"/>
      <c r="C32" s="202"/>
      <c r="D32" s="202"/>
      <c r="E32" s="202"/>
      <c r="F32" s="202"/>
      <c r="G32" s="202"/>
      <c r="H32" s="202"/>
      <c r="I32" s="202"/>
      <c r="J32" s="202"/>
    </row>
    <row r="33" spans="2:10" x14ac:dyDescent="0.2">
      <c r="B33" s="160"/>
      <c r="C33" s="160"/>
      <c r="D33" s="160"/>
      <c r="E33" s="160"/>
      <c r="F33" s="159"/>
      <c r="G33" s="159"/>
      <c r="H33" s="159"/>
      <c r="I33" s="159"/>
      <c r="J33" s="159"/>
    </row>
    <row r="41" spans="2:10" x14ac:dyDescent="0.2">
      <c r="C41" s="38"/>
    </row>
    <row r="42" spans="2:10" x14ac:dyDescent="0.2">
      <c r="C42" s="12"/>
    </row>
  </sheetData>
  <mergeCells count="16">
    <mergeCell ref="L21:U21"/>
    <mergeCell ref="A30:J32"/>
    <mergeCell ref="L16:U16"/>
    <mergeCell ref="N3:O3"/>
    <mergeCell ref="Q3:R3"/>
    <mergeCell ref="T3:U3"/>
    <mergeCell ref="A12:J14"/>
    <mergeCell ref="C18:D18"/>
    <mergeCell ref="F18:G18"/>
    <mergeCell ref="I18:J18"/>
    <mergeCell ref="A17:J17"/>
    <mergeCell ref="L1:U1"/>
    <mergeCell ref="L2:U2"/>
    <mergeCell ref="C2:D2"/>
    <mergeCell ref="F2:G2"/>
    <mergeCell ref="I2:J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7378F-5104-794C-8E58-0DE8B3392AB9}">
  <dimension ref="A1:Q49"/>
  <sheetViews>
    <sheetView showGridLines="0" workbookViewId="0"/>
  </sheetViews>
  <sheetFormatPr baseColWidth="10" defaultRowHeight="16" x14ac:dyDescent="0.2"/>
  <cols>
    <col min="1" max="1" width="45.83203125" customWidth="1"/>
    <col min="2" max="3" width="14.83203125" customWidth="1"/>
    <col min="6" max="6" width="25.83203125" bestFit="1" customWidth="1"/>
  </cols>
  <sheetData>
    <row r="1" spans="1:8" x14ac:dyDescent="0.2">
      <c r="A1" s="17" t="s">
        <v>231</v>
      </c>
    </row>
    <row r="2" spans="1:8" x14ac:dyDescent="0.2">
      <c r="A2" s="206" t="s">
        <v>227</v>
      </c>
      <c r="B2" s="206"/>
      <c r="C2" s="206"/>
    </row>
    <row r="3" spans="1:8" x14ac:dyDescent="0.2">
      <c r="A3" s="206"/>
      <c r="B3" s="206"/>
      <c r="C3" s="206"/>
    </row>
    <row r="4" spans="1:8" x14ac:dyDescent="0.2">
      <c r="A4" s="206"/>
      <c r="B4" s="206"/>
      <c r="C4" s="206"/>
    </row>
    <row r="5" spans="1:8" x14ac:dyDescent="0.2">
      <c r="B5" s="207" t="s">
        <v>211</v>
      </c>
      <c r="C5" s="207"/>
    </row>
    <row r="6" spans="1:8" x14ac:dyDescent="0.2">
      <c r="A6" s="5" t="s">
        <v>13</v>
      </c>
      <c r="B6" s="6" t="s">
        <v>10</v>
      </c>
      <c r="C6" s="6" t="s">
        <v>11</v>
      </c>
    </row>
    <row r="7" spans="1:8" x14ac:dyDescent="0.2">
      <c r="B7" s="205" t="s">
        <v>212</v>
      </c>
      <c r="C7" s="205"/>
    </row>
    <row r="8" spans="1:8" x14ac:dyDescent="0.2">
      <c r="A8" t="s">
        <v>213</v>
      </c>
      <c r="B8" s="8">
        <f>Pharmacy!L45</f>
        <v>-5.7770352076753628E-3</v>
      </c>
      <c r="C8" s="8">
        <f>Pharmacy!M45</f>
        <v>-1.0259659371156027E-2</v>
      </c>
    </row>
    <row r="9" spans="1:8" x14ac:dyDescent="0.2">
      <c r="A9" t="s">
        <v>33</v>
      </c>
      <c r="B9" s="8">
        <f>(1+Pharmacy!L$49)/(1+Tables34!B$8)-1</f>
        <v>1.6348171423519187E-3</v>
      </c>
      <c r="C9" s="8">
        <f>(1+Pharmacy!M$49)/(1+Tables34!C$8)-1</f>
        <v>8.0484525921664662E-4</v>
      </c>
    </row>
    <row r="10" spans="1:8" x14ac:dyDescent="0.2">
      <c r="B10" s="205" t="s">
        <v>214</v>
      </c>
      <c r="C10" s="205"/>
    </row>
    <row r="11" spans="1:8" x14ac:dyDescent="0.2">
      <c r="A11" s="17" t="s">
        <v>217</v>
      </c>
      <c r="B11" s="156">
        <f>Pharmacy!L$64*BackgroundInfo1!$B$18</f>
        <v>13.340087271208597</v>
      </c>
      <c r="C11" s="156">
        <f>Pharmacy!M$64*BackgroundInfo1!$B$18</f>
        <v>10.209420743626898</v>
      </c>
    </row>
    <row r="12" spans="1:8" x14ac:dyDescent="0.2">
      <c r="A12" s="153" t="s">
        <v>228</v>
      </c>
      <c r="B12" s="156">
        <f>SUM(B13:B15)</f>
        <v>1.888532340519693</v>
      </c>
      <c r="C12" s="156">
        <f>SUM(C13:C15)</f>
        <v>3.4465589528619587</v>
      </c>
      <c r="H12" t="s">
        <v>317</v>
      </c>
    </row>
    <row r="13" spans="1:8" x14ac:dyDescent="0.2">
      <c r="A13" s="37" t="s">
        <v>218</v>
      </c>
      <c r="B13" s="157">
        <f>-Pharmacy!L$59*BackgroundInfo1!$B$18</f>
        <v>2.6006534944981952</v>
      </c>
      <c r="C13" s="157">
        <f>-Pharmacy!M$59*BackgroundInfo1!$B$18</f>
        <v>4.74702896245409</v>
      </c>
      <c r="F13" t="s">
        <v>313</v>
      </c>
      <c r="G13">
        <f t="shared" ref="G13:G18" si="0">-H13/$H$13</f>
        <v>-1</v>
      </c>
      <c r="H13" s="39">
        <f>AVERAGE(B15:C15)</f>
        <v>-1.3425503389887135</v>
      </c>
    </row>
    <row r="14" spans="1:8" x14ac:dyDescent="0.2">
      <c r="A14" s="14" t="s">
        <v>219</v>
      </c>
      <c r="B14" s="157">
        <f>-Pharmacy!L$60*BackgroundInfo1!$B$18</f>
        <v>0.24226383580024446</v>
      </c>
      <c r="C14" s="157">
        <f>-Pharmacy!M$60*BackgroundInfo1!$B$18</f>
        <v>0.43024567860654905</v>
      </c>
      <c r="F14" t="s">
        <v>316</v>
      </c>
      <c r="G14" s="175">
        <f t="shared" si="0"/>
        <v>9.1121707669652469E-2</v>
      </c>
      <c r="H14" s="39">
        <f>AVERAGE(B17:C17)</f>
        <v>0.12233547952112236</v>
      </c>
    </row>
    <row r="15" spans="1:8" x14ac:dyDescent="0.2">
      <c r="A15" s="14" t="s">
        <v>220</v>
      </c>
      <c r="B15" s="157">
        <f>-Pharmacy!L$58*BackgroundInfo1!$B$18</f>
        <v>-0.95438498977874675</v>
      </c>
      <c r="C15" s="157">
        <f>-Pharmacy!M$58*BackgroundInfo1!$B$18</f>
        <v>-1.73071568819868</v>
      </c>
      <c r="F15" t="s">
        <v>315</v>
      </c>
      <c r="G15" s="175">
        <f t="shared" si="0"/>
        <v>0.14267262991587251</v>
      </c>
      <c r="H15" s="39">
        <f>AVERAGE(B19:C19)</f>
        <v>0.19154518765796591</v>
      </c>
    </row>
    <row r="16" spans="1:8" x14ac:dyDescent="0.2">
      <c r="A16" s="154" t="s">
        <v>221</v>
      </c>
      <c r="B16" s="156">
        <f>SUM(B17:B19)</f>
        <v>5.7253427573213234</v>
      </c>
      <c r="C16" s="156">
        <f>SUM(C17:C19)</f>
        <v>4.5760796854831254</v>
      </c>
      <c r="F16" t="s">
        <v>314</v>
      </c>
      <c r="G16" s="175">
        <f t="shared" si="0"/>
        <v>3.6027182100795687</v>
      </c>
      <c r="H16" s="39">
        <f>AVERAGE(B18:C18)</f>
        <v>4.8368305542231358</v>
      </c>
    </row>
    <row r="17" spans="1:17" x14ac:dyDescent="0.2">
      <c r="A17" s="14" t="s">
        <v>222</v>
      </c>
      <c r="B17" s="157">
        <f>-Pharmacy!L$63*BackgroundInfo1!$B$18</f>
        <v>8.8139905498265433E-2</v>
      </c>
      <c r="C17" s="157">
        <f>-Pharmacy!M$63*BackgroundInfo1!$B$18</f>
        <v>0.15653105354397928</v>
      </c>
      <c r="F17" t="str">
        <f>A14</f>
        <v>Manufacturers</v>
      </c>
      <c r="G17" s="175">
        <f t="shared" si="0"/>
        <v>0.25045970153840436</v>
      </c>
      <c r="H17" s="39">
        <f>AVERAGE(B14:C14)</f>
        <v>0.33625475720339676</v>
      </c>
    </row>
    <row r="18" spans="1:17" x14ac:dyDescent="0.2">
      <c r="A18" s="14" t="s">
        <v>223</v>
      </c>
      <c r="B18" s="157">
        <f>Pharmacy!L$67*BackgroundInfo1!$B$18</f>
        <v>5.4991989399169814</v>
      </c>
      <c r="C18" s="157">
        <f>Pharmacy!M$67*BackgroundInfo1!$B$18</f>
        <v>4.1744621685292902</v>
      </c>
      <c r="F18" s="174" t="s">
        <v>53</v>
      </c>
      <c r="G18" s="175">
        <f t="shared" si="0"/>
        <v>2.7364644153629962</v>
      </c>
      <c r="H18" s="39">
        <f>AVERAGE(B13:C13)</f>
        <v>3.6738412284761424</v>
      </c>
    </row>
    <row r="19" spans="1:17" x14ac:dyDescent="0.2">
      <c r="A19" s="155" t="s">
        <v>224</v>
      </c>
      <c r="B19" s="158">
        <f>-Pharmacy!L$68*BackgroundInfo1!$B$18</f>
        <v>0.13800391190607605</v>
      </c>
      <c r="C19" s="158">
        <f>-Pharmacy!M$68*BackgroundInfo1!$B$18</f>
        <v>0.24508646340985579</v>
      </c>
      <c r="G19" s="204" t="str">
        <f>"The net cost summed across the five categories is "&amp;TEXT(SUM(G14:G18),"$0.00")&amp;" for each dollar of pharmacy benefit."</f>
        <v>The net cost summed across the five categories is $6.82 for each dollar of pharmacy benefit.</v>
      </c>
      <c r="H19" s="204"/>
      <c r="I19" s="204"/>
      <c r="J19" s="204"/>
      <c r="K19" s="204"/>
      <c r="L19" s="204"/>
      <c r="M19" s="204"/>
      <c r="N19" s="204"/>
      <c r="O19" s="204"/>
      <c r="P19" s="204"/>
      <c r="Q19" s="204"/>
    </row>
    <row r="20" spans="1:17" x14ac:dyDescent="0.2">
      <c r="A20" s="154" t="s">
        <v>229</v>
      </c>
      <c r="B20" s="156">
        <f>B12+B16</f>
        <v>7.6138750978410163</v>
      </c>
      <c r="C20" s="156">
        <f>C12+C16</f>
        <v>8.0226386383450841</v>
      </c>
      <c r="G20" s="204"/>
      <c r="H20" s="204"/>
      <c r="I20" s="204"/>
      <c r="J20" s="204"/>
      <c r="K20" s="204"/>
      <c r="L20" s="204"/>
      <c r="M20" s="204"/>
      <c r="N20" s="204"/>
      <c r="O20" s="204"/>
      <c r="P20" s="204"/>
      <c r="Q20" s="204"/>
    </row>
    <row r="21" spans="1:17" x14ac:dyDescent="0.2">
      <c r="G21" s="204"/>
      <c r="H21" s="204"/>
      <c r="I21" s="204"/>
      <c r="J21" s="204"/>
      <c r="K21" s="204"/>
      <c r="L21" s="204"/>
      <c r="M21" s="204"/>
      <c r="N21" s="204"/>
      <c r="O21" s="204"/>
      <c r="P21" s="204"/>
      <c r="Q21" s="204"/>
    </row>
    <row r="22" spans="1:17" x14ac:dyDescent="0.2">
      <c r="A22" s="202" t="s">
        <v>233</v>
      </c>
      <c r="B22" s="202"/>
      <c r="C22" s="202"/>
    </row>
    <row r="23" spans="1:17" x14ac:dyDescent="0.2">
      <c r="A23" s="202"/>
      <c r="B23" s="202"/>
      <c r="C23" s="202"/>
    </row>
    <row r="24" spans="1:17" x14ac:dyDescent="0.2">
      <c r="A24" s="159"/>
      <c r="B24" s="159"/>
      <c r="C24" s="159"/>
    </row>
    <row r="27" spans="1:17" x14ac:dyDescent="0.2">
      <c r="A27" s="17" t="s">
        <v>232</v>
      </c>
    </row>
    <row r="28" spans="1:17" x14ac:dyDescent="0.2">
      <c r="A28" s="206" t="s">
        <v>225</v>
      </c>
      <c r="B28" s="206"/>
      <c r="C28" s="206"/>
    </row>
    <row r="29" spans="1:17" x14ac:dyDescent="0.2">
      <c r="A29" s="206"/>
      <c r="B29" s="206"/>
      <c r="C29" s="206"/>
    </row>
    <row r="30" spans="1:17" x14ac:dyDescent="0.2">
      <c r="A30" s="206"/>
      <c r="B30" s="206"/>
      <c r="C30" s="206"/>
    </row>
    <row r="31" spans="1:17" x14ac:dyDescent="0.2">
      <c r="B31" s="207" t="s">
        <v>211</v>
      </c>
      <c r="C31" s="207"/>
    </row>
    <row r="32" spans="1:17" x14ac:dyDescent="0.2">
      <c r="A32" s="5" t="s">
        <v>13</v>
      </c>
      <c r="B32" s="6" t="s">
        <v>10</v>
      </c>
      <c r="C32" s="6" t="s">
        <v>11</v>
      </c>
    </row>
    <row r="33" spans="1:7" x14ac:dyDescent="0.2">
      <c r="B33" s="205" t="s">
        <v>212</v>
      </c>
      <c r="C33" s="205"/>
    </row>
    <row r="34" spans="1:7" x14ac:dyDescent="0.2">
      <c r="A34" t="s">
        <v>213</v>
      </c>
      <c r="B34" s="8">
        <f>Pharmacy!J45</f>
        <v>-6.6437787235651413E-4</v>
      </c>
      <c r="C34" s="8">
        <f>Pharmacy!K45</f>
        <v>-1.3086015658042571E-3</v>
      </c>
    </row>
    <row r="35" spans="1:7" x14ac:dyDescent="0.2">
      <c r="A35" t="s">
        <v>33</v>
      </c>
      <c r="B35" s="8">
        <f>(1+Pharmacy!J$49)/(1+Tables34!B$34)-1</f>
        <v>3.3709172926266184E-4</v>
      </c>
      <c r="C35" s="8">
        <f>(1+Pharmacy!K$49)/(1+Tables34!C$34)-1</f>
        <v>6.2762417883299726E-4</v>
      </c>
    </row>
    <row r="36" spans="1:7" x14ac:dyDescent="0.2">
      <c r="B36" s="205" t="s">
        <v>214</v>
      </c>
      <c r="C36" s="205"/>
    </row>
    <row r="37" spans="1:7" x14ac:dyDescent="0.2">
      <c r="A37" s="17" t="s">
        <v>217</v>
      </c>
      <c r="B37" s="156">
        <f>Pharmacy!J$64*BackgroundInfo1!$B$17</f>
        <v>0.91554541423937119</v>
      </c>
      <c r="C37" s="156">
        <f>Pharmacy!K$64*BackgroundInfo1!$B$17</f>
        <v>0.93005411132577698</v>
      </c>
    </row>
    <row r="38" spans="1:7" x14ac:dyDescent="0.2">
      <c r="A38" s="153" t="s">
        <v>228</v>
      </c>
      <c r="B38" s="156">
        <f>SUM(B39:B41)</f>
        <v>0.11495116847035286</v>
      </c>
      <c r="C38" s="156">
        <f>SUM(C39:C41)</f>
        <v>0.22730853000433165</v>
      </c>
    </row>
    <row r="39" spans="1:7" x14ac:dyDescent="0.2">
      <c r="A39" s="37" t="s">
        <v>218</v>
      </c>
      <c r="B39" s="157">
        <f>-Pharmacy!J$59*BackgroundInfo1!$B$17</f>
        <v>0.15826054397258557</v>
      </c>
      <c r="C39" s="157">
        <f>-Pharmacy!K$59*BackgroundInfo1!$B$17</f>
        <v>0.31295942407201466</v>
      </c>
    </row>
    <row r="40" spans="1:7" x14ac:dyDescent="0.2">
      <c r="A40" s="14" t="s">
        <v>219</v>
      </c>
      <c r="B40" s="157">
        <f>-Pharmacy!J$60*BackgroundInfo1!$B$17</f>
        <v>1.5213340051692462E-2</v>
      </c>
      <c r="C40" s="157">
        <f>-Pharmacy!K$60*BackgroundInfo1!$B$17</f>
        <v>2.9965177109437777E-2</v>
      </c>
    </row>
    <row r="41" spans="1:7" x14ac:dyDescent="0.2">
      <c r="A41" s="14" t="s">
        <v>220</v>
      </c>
      <c r="B41" s="157">
        <f>-Pharmacy!J$58*BackgroundInfo1!$B$17</f>
        <v>-5.8522715553925179E-2</v>
      </c>
      <c r="C41" s="157">
        <f>-Pharmacy!K$58*BackgroundInfo1!$B$17</f>
        <v>-0.11561607117712082</v>
      </c>
    </row>
    <row r="42" spans="1:7" x14ac:dyDescent="0.2">
      <c r="A42" s="154" t="s">
        <v>221</v>
      </c>
      <c r="B42" s="156">
        <f>SUM(B43:B45)</f>
        <v>0.37661886125049115</v>
      </c>
      <c r="C42" s="156">
        <f>SUM(C43:C45)</f>
        <v>0.4165222660447685</v>
      </c>
    </row>
    <row r="43" spans="1:7" x14ac:dyDescent="0.2">
      <c r="A43" s="14" t="s">
        <v>222</v>
      </c>
      <c r="B43" s="157">
        <f>-Pharmacy!J$63*BackgroundInfo1!$B$17</f>
        <v>2.691202091961396E-2</v>
      </c>
      <c r="C43" s="157">
        <f>-Pharmacy!K$63*BackgroundInfo1!$B$17</f>
        <v>5.3007654498561887E-2</v>
      </c>
    </row>
    <row r="44" spans="1:7" x14ac:dyDescent="0.2">
      <c r="A44" s="14" t="s">
        <v>223</v>
      </c>
      <c r="B44" s="157">
        <f>Pharmacy!J$67*BackgroundInfo1!$B$17</f>
        <v>0.34104066680416928</v>
      </c>
      <c r="C44" s="157">
        <f>Pharmacy!K$67*BackgroundInfo1!$B$17</f>
        <v>0.34644515646884794</v>
      </c>
    </row>
    <row r="45" spans="1:7" x14ac:dyDescent="0.2">
      <c r="A45" s="155" t="s">
        <v>224</v>
      </c>
      <c r="B45" s="158">
        <f>-Pharmacy!J$68*BackgroundInfo1!$B$17</f>
        <v>8.6661735267079092E-3</v>
      </c>
      <c r="C45" s="158">
        <f>-Pharmacy!K$68*BackgroundInfo1!$B$17</f>
        <v>1.706945507735869E-2</v>
      </c>
    </row>
    <row r="46" spans="1:7" x14ac:dyDescent="0.2">
      <c r="A46" s="154" t="s">
        <v>229</v>
      </c>
      <c r="B46" s="156">
        <f>B38+B42</f>
        <v>0.49157002972084402</v>
      </c>
      <c r="C46" s="156">
        <f>C38+C42</f>
        <v>0.6438307960491001</v>
      </c>
    </row>
    <row r="48" spans="1:7" x14ac:dyDescent="0.2">
      <c r="A48" s="202" t="s">
        <v>226</v>
      </c>
      <c r="B48" s="202"/>
      <c r="C48" s="202"/>
      <c r="G48" s="12"/>
    </row>
    <row r="49" spans="1:3" x14ac:dyDescent="0.2">
      <c r="A49" s="202"/>
      <c r="B49" s="202"/>
      <c r="C49" s="202"/>
    </row>
  </sheetData>
  <mergeCells count="11">
    <mergeCell ref="A2:C4"/>
    <mergeCell ref="B5:C5"/>
    <mergeCell ref="B7:C7"/>
    <mergeCell ref="B10:C10"/>
    <mergeCell ref="A22:C23"/>
    <mergeCell ref="G19:Q21"/>
    <mergeCell ref="B33:C33"/>
    <mergeCell ref="B36:C36"/>
    <mergeCell ref="A28:C30"/>
    <mergeCell ref="A48:C49"/>
    <mergeCell ref="B31:C3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92BE6-F76C-D94F-AD94-0AD845BEC71E}">
  <dimension ref="A1:D18"/>
  <sheetViews>
    <sheetView showGridLines="0" workbookViewId="0"/>
  </sheetViews>
  <sheetFormatPr baseColWidth="10" defaultRowHeight="16" x14ac:dyDescent="0.2"/>
  <cols>
    <col min="1" max="1" width="17.6640625" bestFit="1" customWidth="1"/>
    <col min="2" max="4" width="12.83203125" customWidth="1"/>
  </cols>
  <sheetData>
    <row r="1" spans="1:4" x14ac:dyDescent="0.2">
      <c r="A1" s="17" t="s">
        <v>295</v>
      </c>
    </row>
    <row r="2" spans="1:4" x14ac:dyDescent="0.2">
      <c r="A2" s="15" t="s">
        <v>311</v>
      </c>
    </row>
    <row r="3" spans="1:4" x14ac:dyDescent="0.2">
      <c r="A3" s="206" t="s">
        <v>305</v>
      </c>
      <c r="B3" s="206"/>
      <c r="C3" s="206"/>
      <c r="D3" s="206"/>
    </row>
    <row r="4" spans="1:4" x14ac:dyDescent="0.2">
      <c r="A4" s="206"/>
      <c r="B4" s="206"/>
      <c r="C4" s="206"/>
      <c r="D4" s="206"/>
    </row>
    <row r="6" spans="1:4" x14ac:dyDescent="0.2">
      <c r="A6" s="208" t="s">
        <v>301</v>
      </c>
      <c r="B6" s="200" t="s">
        <v>306</v>
      </c>
      <c r="C6" s="200"/>
      <c r="D6" s="200"/>
    </row>
    <row r="7" spans="1:4" x14ac:dyDescent="0.2">
      <c r="A7" s="209"/>
      <c r="B7" s="6" t="s">
        <v>219</v>
      </c>
      <c r="C7" s="6" t="s">
        <v>299</v>
      </c>
      <c r="D7" s="6" t="s">
        <v>300</v>
      </c>
    </row>
    <row r="8" spans="1:4" x14ac:dyDescent="0.2">
      <c r="A8" s="171" t="s">
        <v>297</v>
      </c>
      <c r="B8" s="39">
        <f>Tables12!$F$20*BackgroundInfo1!$B$10*SUM(BackgroundInfo1!$C$32:$C$33)</f>
        <v>12.29844352661538</v>
      </c>
      <c r="C8" s="39">
        <f>Tables34!$C$12</f>
        <v>3.4465589528619587</v>
      </c>
      <c r="D8" s="172">
        <f>BackgroundInfo1!$B$51*BackgroundInfo1!B47</f>
        <v>30.666666666666671</v>
      </c>
    </row>
    <row r="9" spans="1:4" x14ac:dyDescent="0.2">
      <c r="A9" s="5" t="s">
        <v>298</v>
      </c>
      <c r="B9" s="40">
        <f>(Tables12!$F$23-BenefitParams!$D$6*BackgroundInfo2!$B$15*Tables12!$Q$9)*BackgroundInfo1!$B$10*SUM(BackgroundInfo1!$C$32:$C$33)</f>
        <v>14.611287381812717</v>
      </c>
      <c r="C9" s="40">
        <f>Tables34!$C$16</f>
        <v>4.5760796854831254</v>
      </c>
      <c r="D9" s="173">
        <f>BackgroundInfo1!$B$51*BackgroundInfo1!B48</f>
        <v>17.666666666666668</v>
      </c>
    </row>
    <row r="10" spans="1:4" x14ac:dyDescent="0.2">
      <c r="A10" t="s">
        <v>272</v>
      </c>
      <c r="B10" s="39">
        <f>SUM(B8:B9)</f>
        <v>26.909730908428095</v>
      </c>
      <c r="C10" s="39">
        <f>SUM(C8:C9)</f>
        <v>8.0226386383450841</v>
      </c>
      <c r="D10" s="172">
        <f>SUM(D8:D9)</f>
        <v>48.333333333333343</v>
      </c>
    </row>
    <row r="12" spans="1:4" x14ac:dyDescent="0.2">
      <c r="A12" s="15" t="s">
        <v>303</v>
      </c>
    </row>
    <row r="13" spans="1:4" x14ac:dyDescent="0.2">
      <c r="A13" t="s">
        <v>9</v>
      </c>
      <c r="B13" s="3">
        <f>Tables12!F9</f>
        <v>0.3</v>
      </c>
      <c r="C13" s="7">
        <f>Pharmacy!$C$24</f>
        <v>0.29787253798337188</v>
      </c>
      <c r="D13" s="2" t="s">
        <v>302</v>
      </c>
    </row>
    <row r="14" spans="1:4" x14ac:dyDescent="0.2">
      <c r="A14" t="s">
        <v>307</v>
      </c>
      <c r="B14" s="3">
        <f>Tables12!F10</f>
        <v>0.21</v>
      </c>
      <c r="C14" s="7">
        <f>Pharmacy!$G$24</f>
        <v>0.20851077658836031</v>
      </c>
      <c r="D14" s="2" t="s">
        <v>302</v>
      </c>
    </row>
    <row r="16" spans="1:4" x14ac:dyDescent="0.2">
      <c r="A16" s="202" t="s">
        <v>304</v>
      </c>
      <c r="B16" s="202"/>
      <c r="C16" s="202"/>
      <c r="D16" s="202"/>
    </row>
    <row r="17" spans="1:4" x14ac:dyDescent="0.2">
      <c r="A17" s="202"/>
      <c r="B17" s="202"/>
      <c r="C17" s="202"/>
      <c r="D17" s="202"/>
    </row>
    <row r="18" spans="1:4" x14ac:dyDescent="0.2">
      <c r="A18" s="202"/>
      <c r="B18" s="202"/>
      <c r="C18" s="202"/>
      <c r="D18" s="202"/>
    </row>
  </sheetData>
  <mergeCells count="4">
    <mergeCell ref="B6:D6"/>
    <mergeCell ref="A6:A7"/>
    <mergeCell ref="A16:D18"/>
    <mergeCell ref="A3:D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1D9C2-7E65-7449-B020-F16898633D64}">
  <dimension ref="A1:N81"/>
  <sheetViews>
    <sheetView showGridLines="0" workbookViewId="0">
      <pane xSplit="2" ySplit="22" topLeftCell="C23" activePane="bottomRight" state="frozen"/>
      <selection pane="topRight" activeCell="C1" sqref="C1"/>
      <selection pane="bottomLeft" activeCell="A21" sqref="A21"/>
      <selection pane="bottomRight" activeCell="C23" sqref="C23"/>
    </sheetView>
  </sheetViews>
  <sheetFormatPr baseColWidth="10" defaultRowHeight="16" x14ac:dyDescent="0.2"/>
  <cols>
    <col min="1" max="1" width="43.33203125" bestFit="1" customWidth="1"/>
    <col min="2" max="2" width="18.83203125" customWidth="1"/>
    <col min="3" max="3" width="10.5" bestFit="1" customWidth="1"/>
    <col min="13" max="14" width="10.83203125" hidden="1" customWidth="1"/>
  </cols>
  <sheetData>
    <row r="1" spans="1:11" x14ac:dyDescent="0.2">
      <c r="A1" s="140" t="s">
        <v>234</v>
      </c>
      <c r="B1" s="141"/>
      <c r="C1" s="141"/>
      <c r="D1" s="141"/>
      <c r="E1" s="141"/>
      <c r="F1" s="141"/>
      <c r="G1" s="141"/>
      <c r="H1" s="141"/>
      <c r="I1" s="141"/>
      <c r="J1" s="141"/>
      <c r="K1" s="141"/>
    </row>
    <row r="2" spans="1:11" x14ac:dyDescent="0.2">
      <c r="A2" s="142" t="s">
        <v>40</v>
      </c>
      <c r="B2" s="141"/>
      <c r="C2" s="141"/>
      <c r="D2" s="141"/>
      <c r="E2" s="141"/>
      <c r="F2" s="141"/>
      <c r="G2" s="141"/>
      <c r="H2" s="141"/>
      <c r="I2" s="141"/>
      <c r="J2" s="141"/>
      <c r="K2" s="141"/>
    </row>
    <row r="3" spans="1:11" x14ac:dyDescent="0.2">
      <c r="A3" s="145" t="s">
        <v>135</v>
      </c>
      <c r="B3" s="141"/>
      <c r="C3" s="141"/>
      <c r="D3" s="141"/>
      <c r="E3" s="141"/>
      <c r="F3" s="141"/>
      <c r="G3" s="141"/>
      <c r="H3" s="141"/>
      <c r="I3" s="141"/>
      <c r="J3" s="141"/>
      <c r="K3" s="141"/>
    </row>
    <row r="4" spans="1:11" x14ac:dyDescent="0.2">
      <c r="A4" s="145" t="s">
        <v>136</v>
      </c>
      <c r="B4" s="141"/>
      <c r="C4" s="141"/>
      <c r="D4" s="141"/>
      <c r="E4" s="141"/>
      <c r="F4" s="141"/>
      <c r="G4" s="141"/>
      <c r="H4" s="141"/>
      <c r="I4" s="141"/>
      <c r="J4" s="141"/>
      <c r="K4" s="141"/>
    </row>
    <row r="5" spans="1:11" x14ac:dyDescent="0.2">
      <c r="A5" s="141"/>
      <c r="B5" s="141"/>
      <c r="C5" s="141"/>
      <c r="D5" s="141"/>
      <c r="E5" s="141"/>
      <c r="F5" s="141"/>
      <c r="G5" s="141"/>
      <c r="H5" s="141"/>
      <c r="I5" s="141"/>
      <c r="J5" s="141"/>
      <c r="K5" s="141"/>
    </row>
    <row r="6" spans="1:11" x14ac:dyDescent="0.2">
      <c r="A6" s="143" t="s">
        <v>1</v>
      </c>
      <c r="B6" s="146" t="s">
        <v>2</v>
      </c>
      <c r="C6" s="210" t="s">
        <v>3</v>
      </c>
      <c r="D6" s="210"/>
      <c r="E6" s="210"/>
      <c r="F6" s="210"/>
      <c r="G6" s="210"/>
      <c r="H6" s="143"/>
      <c r="I6" s="143"/>
      <c r="J6" s="143"/>
      <c r="K6" s="143"/>
    </row>
    <row r="7" spans="1:11" x14ac:dyDescent="0.2">
      <c r="A7" s="141" t="s">
        <v>0</v>
      </c>
      <c r="B7" s="4">
        <v>-0.5</v>
      </c>
      <c r="C7" s="212" t="s">
        <v>6</v>
      </c>
      <c r="D7" s="213"/>
      <c r="E7" s="213"/>
      <c r="F7" s="213"/>
      <c r="G7" s="213"/>
      <c r="H7" s="213"/>
      <c r="I7" s="141"/>
      <c r="J7" s="141"/>
      <c r="K7" s="141"/>
    </row>
    <row r="8" spans="1:11" x14ac:dyDescent="0.2">
      <c r="A8" s="141" t="s">
        <v>5</v>
      </c>
      <c r="B8" s="4">
        <v>-1.2</v>
      </c>
      <c r="C8" s="212" t="s">
        <v>4</v>
      </c>
      <c r="D8" s="213"/>
      <c r="E8" s="213"/>
      <c r="F8" s="213"/>
      <c r="G8" s="213"/>
      <c r="H8" s="213"/>
      <c r="I8" s="141"/>
      <c r="J8" s="141"/>
      <c r="K8" s="141"/>
    </row>
    <row r="9" spans="1:11" x14ac:dyDescent="0.2">
      <c r="A9" s="141" t="s">
        <v>21</v>
      </c>
      <c r="B9" s="9">
        <v>0.3</v>
      </c>
      <c r="C9" s="212" t="s">
        <v>19</v>
      </c>
      <c r="D9" s="213"/>
      <c r="E9" s="213"/>
      <c r="F9" s="213"/>
      <c r="G9" s="213"/>
      <c r="H9" s="213"/>
      <c r="I9" s="141"/>
      <c r="J9" s="141"/>
      <c r="K9" s="141"/>
    </row>
    <row r="10" spans="1:11" x14ac:dyDescent="0.2">
      <c r="A10" s="141"/>
      <c r="B10" s="141"/>
      <c r="C10" s="147"/>
      <c r="D10" s="147"/>
      <c r="E10" s="147"/>
      <c r="F10" s="147"/>
      <c r="G10" s="141"/>
      <c r="H10" s="141"/>
      <c r="I10" s="141"/>
      <c r="J10" s="141"/>
      <c r="K10" s="141"/>
    </row>
    <row r="11" spans="1:11" x14ac:dyDescent="0.2">
      <c r="A11" s="141"/>
      <c r="B11" s="141"/>
      <c r="C11" s="141"/>
      <c r="D11" s="141"/>
      <c r="E11" s="141"/>
      <c r="F11" s="141"/>
      <c r="G11" s="141"/>
      <c r="H11" s="141"/>
      <c r="I11" s="141"/>
      <c r="J11" s="141"/>
      <c r="K11" s="141"/>
    </row>
    <row r="12" spans="1:11" x14ac:dyDescent="0.2">
      <c r="A12" s="141" t="s">
        <v>7</v>
      </c>
      <c r="B12" s="141">
        <f>B7-B8</f>
        <v>0.7</v>
      </c>
      <c r="C12" s="141"/>
      <c r="D12" s="141"/>
      <c r="E12" s="141"/>
      <c r="F12" s="141"/>
      <c r="G12" s="141"/>
      <c r="H12" s="141"/>
      <c r="I12" s="141"/>
      <c r="J12" s="141"/>
      <c r="K12" s="141"/>
    </row>
    <row r="13" spans="1:11" x14ac:dyDescent="0.2">
      <c r="A13" s="141" t="s">
        <v>17</v>
      </c>
      <c r="B13" s="148">
        <f>-0.5*(B7+B8)/(2*B8*B8+B8-B7)</f>
        <v>0.38990825688073399</v>
      </c>
      <c r="C13" s="141"/>
      <c r="D13" s="141"/>
      <c r="E13" s="141"/>
      <c r="F13" s="141"/>
      <c r="G13" s="141"/>
      <c r="H13" s="141"/>
      <c r="I13" s="141"/>
      <c r="J13" s="141"/>
      <c r="K13" s="141"/>
    </row>
    <row r="14" spans="1:11" x14ac:dyDescent="0.2">
      <c r="A14" s="141" t="s">
        <v>18</v>
      </c>
      <c r="B14" s="148"/>
      <c r="C14" s="141"/>
      <c r="D14" s="141"/>
      <c r="E14" s="141"/>
      <c r="F14" s="141"/>
      <c r="G14" s="141"/>
      <c r="H14" s="141"/>
      <c r="I14" s="141"/>
      <c r="J14" s="141"/>
      <c r="K14" s="141"/>
    </row>
    <row r="15" spans="1:11" x14ac:dyDescent="0.2">
      <c r="A15" s="149" t="s">
        <v>14</v>
      </c>
      <c r="B15" s="148">
        <f>MAX(0,-1-4*MIN(B$9,B$13)*(2*B$8*B$8+B$8-B$7)/(B$7+B$8))</f>
        <v>0.53882352941176448</v>
      </c>
      <c r="C15" s="141"/>
      <c r="D15" s="141"/>
      <c r="E15" s="141"/>
      <c r="F15" s="141"/>
      <c r="G15" s="141"/>
      <c r="H15" s="141"/>
      <c r="I15" s="141"/>
      <c r="J15" s="141"/>
      <c r="K15" s="141"/>
    </row>
    <row r="16" spans="1:11" x14ac:dyDescent="0.2">
      <c r="A16" s="149" t="s">
        <v>15</v>
      </c>
      <c r="B16" s="148">
        <v>1</v>
      </c>
      <c r="C16" s="141"/>
      <c r="D16" s="141"/>
      <c r="E16" s="141"/>
      <c r="F16" s="141"/>
      <c r="G16" s="141"/>
      <c r="H16" s="141"/>
      <c r="I16" s="141"/>
      <c r="J16" s="141"/>
      <c r="K16" s="141"/>
    </row>
    <row r="17" spans="1:14" x14ac:dyDescent="0.2">
      <c r="A17" s="149" t="s">
        <v>16</v>
      </c>
      <c r="B17" s="148">
        <f>AVERAGE(B15:B16)</f>
        <v>0.76941176470588224</v>
      </c>
      <c r="C17" s="141"/>
      <c r="D17" s="141"/>
      <c r="E17" s="141"/>
      <c r="F17" s="141"/>
      <c r="G17" s="141"/>
      <c r="H17" s="141"/>
      <c r="I17" s="141"/>
      <c r="J17" s="141"/>
      <c r="K17" s="141"/>
    </row>
    <row r="18" spans="1:14" x14ac:dyDescent="0.2">
      <c r="A18" s="147" t="s">
        <v>42</v>
      </c>
      <c r="B18" s="150">
        <f>AVERAGE(1,B$7/B$8)</f>
        <v>0.70833333333333337</v>
      </c>
      <c r="C18" s="141"/>
      <c r="D18" s="141"/>
      <c r="E18" s="141"/>
      <c r="F18" s="141"/>
      <c r="G18" s="141"/>
      <c r="H18" s="141"/>
      <c r="I18" s="141"/>
      <c r="J18" s="141"/>
      <c r="K18" s="141"/>
    </row>
    <row r="19" spans="1:14" x14ac:dyDescent="0.2">
      <c r="C19" s="211" t="str">
        <f>IF($M$25&gt;0,"Warning: "&amp;TEXT($M$25,"0")&amp;" scenario"&amp;IF($M$25=1," ("&amp;LEFT($M$24,LEN($M$24)-2)&amp;")"&amp;" has a target rebate rate that is","s ("&amp;LEFT($M$24,LEN($M$24)-2)&amp;")"&amp;" have target rebate rates that are")&amp;" not supported unless brands are less substitutable.  To achieve target rates, edit the red-highlighted demand parameters or the red-highlighted target rebate rates.","")</f>
        <v/>
      </c>
      <c r="D19" s="211"/>
      <c r="E19" s="211"/>
      <c r="F19" s="211"/>
      <c r="G19" s="211"/>
      <c r="H19" s="211"/>
      <c r="I19" s="211"/>
      <c r="J19" s="211"/>
      <c r="K19" s="211"/>
      <c r="L19" s="211"/>
    </row>
    <row r="20" spans="1:14" x14ac:dyDescent="0.2">
      <c r="C20" s="211"/>
      <c r="D20" s="211"/>
      <c r="E20" s="211"/>
      <c r="F20" s="211"/>
      <c r="G20" s="211"/>
      <c r="H20" s="211"/>
      <c r="I20" s="211"/>
      <c r="J20" s="211"/>
      <c r="K20" s="211"/>
      <c r="L20" s="211"/>
    </row>
    <row r="21" spans="1:14" x14ac:dyDescent="0.2">
      <c r="C21" s="207" t="s">
        <v>8</v>
      </c>
      <c r="D21" s="207"/>
      <c r="E21" s="207"/>
      <c r="F21" s="207"/>
      <c r="H21" s="207" t="s">
        <v>32</v>
      </c>
      <c r="I21" s="207"/>
      <c r="J21" s="207"/>
      <c r="K21" s="207"/>
    </row>
    <row r="22" spans="1:14" x14ac:dyDescent="0.2">
      <c r="B22" s="152" t="s">
        <v>13</v>
      </c>
      <c r="C22" s="6" t="s">
        <v>9</v>
      </c>
      <c r="D22" s="16" t="s">
        <v>10</v>
      </c>
      <c r="E22" s="16" t="s">
        <v>11</v>
      </c>
      <c r="F22" s="16" t="s">
        <v>12</v>
      </c>
      <c r="H22" s="6" t="str">
        <f>C22</f>
        <v>Baseline</v>
      </c>
      <c r="I22" s="6" t="str">
        <f>D22</f>
        <v>OACT</v>
      </c>
      <c r="J22" s="6" t="str">
        <f>E22</f>
        <v>OACTX2</v>
      </c>
      <c r="K22" s="6" t="str">
        <f>F22</f>
        <v>Retain Zero</v>
      </c>
    </row>
    <row r="23" spans="1:14" x14ac:dyDescent="0.2">
      <c r="B23" s="18" t="str">
        <f>IF($M$25=0,"","Rebate rate (brands)")</f>
        <v/>
      </c>
      <c r="C23" s="2"/>
      <c r="D23" s="2"/>
      <c r="E23" s="2"/>
      <c r="F23" s="2"/>
      <c r="H23" s="2"/>
      <c r="I23" s="2"/>
      <c r="J23" s="2"/>
      <c r="K23" s="2"/>
      <c r="M23" t="s">
        <v>36</v>
      </c>
    </row>
    <row r="24" spans="1:14" x14ac:dyDescent="0.2">
      <c r="B24" s="14" t="str">
        <f>IF($M$25=0,"Rebate rate (brands)","Target")</f>
        <v>Rebate rate (brands)</v>
      </c>
      <c r="C24" s="7">
        <f>$B$9</f>
        <v>0.3</v>
      </c>
      <c r="D24" s="13">
        <f>C24*0.85</f>
        <v>0.255</v>
      </c>
      <c r="E24" s="13">
        <f>C24*0.7</f>
        <v>0.21</v>
      </c>
      <c r="F24" s="13">
        <f>BackgroundInfo1!$C$40</f>
        <v>0.10145052782120562</v>
      </c>
      <c r="H24" s="2"/>
      <c r="I24" s="2"/>
      <c r="J24" s="2"/>
      <c r="K24" s="2"/>
      <c r="M24" t="str" cm="1">
        <f t="array" ref="M24">IF(M25=0,"",IF(M$33,"see the red cells below",_xlfn.CONCAT(TRANSPOSE(_xlfn._xlws.FILTER(C22:F22,C24:F24&gt;$B$13)&amp;", "))))</f>
        <v/>
      </c>
      <c r="N24" t="s">
        <v>37</v>
      </c>
    </row>
    <row r="25" spans="1:14" x14ac:dyDescent="0.2">
      <c r="B25" s="14" t="str">
        <f>IF($M$25=0,"","Actual")</f>
        <v/>
      </c>
      <c r="C25" s="7">
        <f>MIN(C24,$B$13)</f>
        <v>0.3</v>
      </c>
      <c r="D25" s="7">
        <f>MIN(D24,$B$13)</f>
        <v>0.255</v>
      </c>
      <c r="E25" s="7">
        <f>MIN(E24,$B$13)</f>
        <v>0.21</v>
      </c>
      <c r="F25" s="7">
        <f>MIN(F24,$B$13)</f>
        <v>0.10145052782120562</v>
      </c>
      <c r="H25" s="7"/>
      <c r="I25" s="7"/>
      <c r="J25" s="7"/>
      <c r="K25" s="7"/>
      <c r="M25">
        <f>COUNTIF(C24:F24,"&gt;"&amp;$B$13)</f>
        <v>0</v>
      </c>
      <c r="N25" t="s">
        <v>38</v>
      </c>
    </row>
    <row r="26" spans="1:14" x14ac:dyDescent="0.2">
      <c r="B26" s="2" t="s">
        <v>20</v>
      </c>
      <c r="C26" s="9">
        <f>B17</f>
        <v>0.76941176470588224</v>
      </c>
      <c r="D26" s="7">
        <f>C26</f>
        <v>0.76941176470588224</v>
      </c>
      <c r="E26" s="7">
        <f>D26</f>
        <v>0.76941176470588224</v>
      </c>
      <c r="F26" s="7">
        <f>E26</f>
        <v>0.76941176470588224</v>
      </c>
      <c r="M26">
        <f>IF(M25&gt;0,0,-9999999999)</f>
        <v>-9999999999</v>
      </c>
      <c r="N26" t="s">
        <v>39</v>
      </c>
    </row>
    <row r="27" spans="1:14" hidden="1" x14ac:dyDescent="0.2">
      <c r="B27" s="10" t="s">
        <v>31</v>
      </c>
      <c r="C27" s="11"/>
      <c r="D27" s="11"/>
      <c r="E27" s="11"/>
    </row>
    <row r="28" spans="1:14" hidden="1" x14ac:dyDescent="0.2">
      <c r="B28" s="10" t="s">
        <v>23</v>
      </c>
      <c r="C28" s="11">
        <f>($B$7+$B$8)*(4*C$26*$B$8+3*$B$7-3*C$26*$B$7)</f>
        <v>6.8663999999999978</v>
      </c>
      <c r="D28" s="11">
        <f t="shared" ref="D28:F32" si="0">C28</f>
        <v>6.8663999999999978</v>
      </c>
      <c r="E28" s="11">
        <f t="shared" si="0"/>
        <v>6.8663999999999978</v>
      </c>
      <c r="F28" s="11">
        <f t="shared" si="0"/>
        <v>6.8663999999999978</v>
      </c>
    </row>
    <row r="29" spans="1:14" hidden="1" x14ac:dyDescent="0.2">
      <c r="B29" s="10" t="s">
        <v>22</v>
      </c>
      <c r="C29" s="11">
        <f>8*$B$8*($B$7+$B$8)*(4*$B$8*$B$8*(2*$B$7-$B$8+(1+3*$B$8-2*$B$7)*C$26)+3*$B$7*($B$8-$B$7+C$26*$B$7+2*$B$7*$B$8)-C$26*$B$7*$B$8*(7+6*$B$7))</f>
        <v>-129.88154879999996</v>
      </c>
      <c r="D29" s="11">
        <f t="shared" si="0"/>
        <v>-129.88154879999996</v>
      </c>
      <c r="E29" s="11">
        <f t="shared" si="0"/>
        <v>-129.88154879999996</v>
      </c>
      <c r="F29" s="11">
        <f t="shared" si="0"/>
        <v>-129.88154879999996</v>
      </c>
    </row>
    <row r="30" spans="1:14" hidden="1" x14ac:dyDescent="0.2">
      <c r="B30" s="10" t="s">
        <v>24</v>
      </c>
      <c r="C30" s="11">
        <f>(4*$B$8*($B$7+(2*$B$7-1)*$B$8))^2</f>
        <v>83.174399999999991</v>
      </c>
      <c r="D30" s="11">
        <f t="shared" si="0"/>
        <v>83.174399999999991</v>
      </c>
      <c r="E30" s="11">
        <f t="shared" si="0"/>
        <v>83.174399999999991</v>
      </c>
      <c r="F30" s="11">
        <f t="shared" si="0"/>
        <v>83.174399999999991</v>
      </c>
    </row>
    <row r="31" spans="1:14" hidden="1" x14ac:dyDescent="0.2">
      <c r="B31" s="10" t="s">
        <v>25</v>
      </c>
      <c r="C31" s="11">
        <f>4*$B$8*((4*$B$8+1)*$B$8+(2*$B$8-1)*$B$7)</f>
        <v>-30.047999999999998</v>
      </c>
      <c r="D31" s="11">
        <f t="shared" si="0"/>
        <v>-30.047999999999998</v>
      </c>
      <c r="E31" s="11">
        <f t="shared" si="0"/>
        <v>-30.047999999999998</v>
      </c>
      <c r="F31" s="11">
        <f t="shared" si="0"/>
        <v>-30.047999999999998</v>
      </c>
    </row>
    <row r="32" spans="1:14" hidden="1" x14ac:dyDescent="0.2">
      <c r="B32" s="10" t="s">
        <v>28</v>
      </c>
      <c r="C32" s="11">
        <f>2*($B$8+1)*$B$7*$B$8/(($B$7+$B$8)*($B$7+$B$8))</f>
        <v>-8.3044982698961919E-2</v>
      </c>
      <c r="D32" s="11">
        <f t="shared" si="0"/>
        <v>-8.3044982698961919E-2</v>
      </c>
      <c r="E32" s="11">
        <f t="shared" si="0"/>
        <v>-8.3044982698961919E-2</v>
      </c>
      <c r="F32" s="11">
        <f t="shared" si="0"/>
        <v>-8.3044982698961919E-2</v>
      </c>
    </row>
    <row r="33" spans="2:14" x14ac:dyDescent="0.2">
      <c r="B33" s="2" t="s">
        <v>26</v>
      </c>
      <c r="C33">
        <f>(C$28+C$25*C$31+SQRT(C$28*C$28+C$29*C$25+C$30*C$25*C$25))*$B$7*($B$8+1)/(8*C$25*$B$8*$B$8*($B$7+$B$8)*($B$7+$B$8))</f>
        <v>1.8125724792777957E-2</v>
      </c>
      <c r="D33">
        <f>(D$28+D$25*D$31+SQRT(D$28*D$28+D$29*D$25+D$30*D$25*D$25))*$B$7*($B$8+1)/(8*D$25*$B$8*$B$8*($B$7+$B$8)*($B$7+$B$8))</f>
        <v>4.2555226834213401E-2</v>
      </c>
      <c r="E33">
        <f>(E$28+E$25*E$31+SQRT(E$28*E$28+E$29*E$25+E$30*E$25*E$25))*$B$7*($B$8+1)/(8*E$25*$B$8*$B$8*($B$7+$B$8)*($B$7+$B$8))</f>
        <v>7.7353436418270097E-2</v>
      </c>
      <c r="F33">
        <f>(F$28+F$25*F$31+SQRT(F$28*F$28+F$29*F$25+F$30*F$25*F$25))*$B$7*($B$8+1)/(8*F$25*$B$8*$B$8*($B$7+$B$8)*($B$7+$B$8))</f>
        <v>0.28776440752673282</v>
      </c>
      <c r="M33" t="b">
        <f ca="1">VALUE(INFO("RELEASE"))&lt;16.2</f>
        <v>0</v>
      </c>
      <c r="N33" t="s">
        <v>310</v>
      </c>
    </row>
    <row r="34" spans="2:14" x14ac:dyDescent="0.2">
      <c r="B34" s="20" t="s">
        <v>41</v>
      </c>
      <c r="C34" s="21"/>
      <c r="D34" s="21"/>
      <c r="E34" s="21"/>
      <c r="F34" s="21"/>
      <c r="G34" s="21"/>
      <c r="H34" s="21"/>
      <c r="I34" s="21"/>
      <c r="J34" s="21"/>
      <c r="K34" s="21"/>
    </row>
    <row r="35" spans="2:14" x14ac:dyDescent="0.2">
      <c r="B35" s="22" t="s">
        <v>124</v>
      </c>
      <c r="C35" s="23">
        <f>(C$33*$B$8/($B$7+$B$8)-C$32)/(C$33-C$32)</f>
        <v>0.94730593805798102</v>
      </c>
      <c r="D35" s="23">
        <f>(D33*$B$8/($B$7+$B$8)-D$32)/(D33-D$32)</f>
        <v>0.90034854851713142</v>
      </c>
      <c r="E35" s="23">
        <f>(E33*$B$8/($B$7+$B$8)-E$32)/(E33-E$32)</f>
        <v>0.85815938313813656</v>
      </c>
      <c r="F35" s="23">
        <f>(F33*$B$8/($B$7+$B$8)-F$32)/(F33-F$32)</f>
        <v>0.77175176066192752</v>
      </c>
      <c r="G35" s="21"/>
      <c r="H35" s="24">
        <f t="shared" ref="H35:K38" si="1">C35/$C35-1</f>
        <v>0</v>
      </c>
      <c r="I35" s="25">
        <f t="shared" si="1"/>
        <v>-4.9569402718106392E-2</v>
      </c>
      <c r="J35" s="25">
        <f t="shared" si="1"/>
        <v>-9.4105347954008267E-2</v>
      </c>
      <c r="K35" s="25">
        <f t="shared" si="1"/>
        <v>-0.18531940985817874</v>
      </c>
    </row>
    <row r="36" spans="2:14" x14ac:dyDescent="0.2">
      <c r="B36" s="22" t="s">
        <v>29</v>
      </c>
      <c r="C36" s="23">
        <f>((C$33-C$32*($B$8+1)/$B$8)/(C$33-C$32))*$B$8/($B$8+1)</f>
        <v>1.8957990530143249</v>
      </c>
      <c r="D36" s="23">
        <f>((D$33-D$32*($B$8+1)/$B$8)/(D$33-D$32))*$B$8/($B$8+1)</f>
        <v>2.6940746752087668</v>
      </c>
      <c r="E36" s="23">
        <f>((E$33-E$32*($B$8+1)/$B$8)/(E$33-E$32))*$B$8/($B$8+1)</f>
        <v>3.4112904866516804</v>
      </c>
      <c r="F36" s="23">
        <f>((F$33-F$32*($B$8+1)/$B$8)/(F$33-F$32))*$B$8/($B$8+1)</f>
        <v>4.8802200687472315</v>
      </c>
      <c r="G36" s="21"/>
      <c r="H36" s="24">
        <f t="shared" si="1"/>
        <v>0</v>
      </c>
      <c r="I36" s="25">
        <f t="shared" si="1"/>
        <v>0.42107607392523039</v>
      </c>
      <c r="J36" s="25">
        <f t="shared" si="1"/>
        <v>0.79939455145719185</v>
      </c>
      <c r="K36" s="25">
        <f t="shared" si="1"/>
        <v>1.5742285612959193</v>
      </c>
    </row>
    <row r="37" spans="2:14" x14ac:dyDescent="0.2">
      <c r="B37" s="22" t="s">
        <v>30</v>
      </c>
      <c r="C37" s="23">
        <f>(C$33*$B$8/($B$8+1)-(2*$B$8*$B$8+$B$8-$B$7)*$B$7/(($B$7+$B$8)*($B$7+$B$8)))/(C$33-C$32)</f>
        <v>4.8029413904625127</v>
      </c>
      <c r="D37" s="23">
        <f>(D$33*$B$8/($B$8+1)-(2*$B$8*$B$8+$B$8-$B$7)*$B$7/(($B$7+$B$8)*($B$7+$B$8)))/(D$33-D$32)</f>
        <v>5.0357717802692239</v>
      </c>
      <c r="E37" s="23">
        <f>(E$33*$B$8/($B$8+1)-(2*$B$8*$B$8+$B$8-$B$7)*$B$7/(($B$7+$B$8)*($B$7+$B$8)))/(E$33-E$32)</f>
        <v>5.2449597252734081</v>
      </c>
      <c r="F37" s="23">
        <f>(F$33*$B$8/($B$8+1)-(2*$B$8*$B$8+$B$8-$B$7)*$B$7/(($B$7+$B$8)*($B$7+$B$8)))/(F$33-F$32)</f>
        <v>5.6733975200512754</v>
      </c>
      <c r="G37" s="21"/>
      <c r="H37" s="24">
        <f t="shared" si="1"/>
        <v>0</v>
      </c>
      <c r="I37" s="25">
        <f t="shared" si="1"/>
        <v>4.8476625234081805E-2</v>
      </c>
      <c r="J37" s="25">
        <f t="shared" si="1"/>
        <v>9.2030757587139744E-2</v>
      </c>
      <c r="K37" s="25">
        <f t="shared" si="1"/>
        <v>0.18123396869203523</v>
      </c>
    </row>
    <row r="38" spans="2:14" x14ac:dyDescent="0.2">
      <c r="B38" s="22" t="s">
        <v>33</v>
      </c>
      <c r="C38" s="23">
        <f>(1-C$25)*C$37</f>
        <v>3.3620589733237587</v>
      </c>
      <c r="D38" s="23">
        <f>(1-D$25)*D$37</f>
        <v>3.751649976300572</v>
      </c>
      <c r="E38" s="23">
        <f>(1-E$25)*E$37</f>
        <v>4.1435181829659928</v>
      </c>
      <c r="F38" s="23">
        <f>(1-F$25)*F$37</f>
        <v>5.0978283471025545</v>
      </c>
      <c r="G38" s="21"/>
      <c r="H38" s="24">
        <f t="shared" si="1"/>
        <v>0</v>
      </c>
      <c r="I38" s="25">
        <f t="shared" si="1"/>
        <v>0.11587869399913009</v>
      </c>
      <c r="J38" s="25">
        <f t="shared" si="1"/>
        <v>0.23243471213405797</v>
      </c>
      <c r="K38" s="25">
        <f t="shared" si="1"/>
        <v>0.51628165583984398</v>
      </c>
    </row>
    <row r="39" spans="2:14" x14ac:dyDescent="0.2">
      <c r="B39" s="18" t="s">
        <v>46</v>
      </c>
      <c r="C39" s="12"/>
      <c r="D39" s="12"/>
      <c r="E39" s="12"/>
      <c r="F39" s="12"/>
      <c r="H39" s="3"/>
      <c r="I39" s="8"/>
      <c r="J39" s="8"/>
      <c r="K39" s="8"/>
    </row>
    <row r="40" spans="2:14" x14ac:dyDescent="0.2">
      <c r="B40" s="2" t="s">
        <v>27</v>
      </c>
      <c r="C40" s="12">
        <f>2*C$35/(1-BackgroundInfo1!$B$5)-2*C$35</f>
        <v>17.051506885043661</v>
      </c>
      <c r="D40" s="12">
        <f>$C40+2*(D$35-$C$35)*($B$18-1)</f>
        <v>17.078898695609158</v>
      </c>
      <c r="E40" s="12">
        <f>$C40+2*(E$35-$C$35)*($B$18-1)</f>
        <v>17.103509042080237</v>
      </c>
      <c r="F40" s="12">
        <f>$C40+2*(F$35-$C$35)*($B$18-1)</f>
        <v>17.153913488524694</v>
      </c>
      <c r="H40" s="3">
        <f t="shared" ref="H40:K41" si="2">C40/$C40-1</f>
        <v>0</v>
      </c>
      <c r="I40" s="8">
        <f t="shared" si="2"/>
        <v>1.6064158288275898E-3</v>
      </c>
      <c r="J40" s="8">
        <f t="shared" si="2"/>
        <v>3.0497103503612788E-3</v>
      </c>
      <c r="K40" s="8">
        <f t="shared" si="2"/>
        <v>6.0057216157742843E-3</v>
      </c>
    </row>
    <row r="41" spans="2:14" x14ac:dyDescent="0.2">
      <c r="B41" s="2" t="s">
        <v>47</v>
      </c>
      <c r="C41" s="12">
        <v>1</v>
      </c>
      <c r="D41" s="12">
        <f>C41</f>
        <v>1</v>
      </c>
      <c r="E41" s="12">
        <f>D41</f>
        <v>1</v>
      </c>
      <c r="F41" s="12">
        <f>E41</f>
        <v>1</v>
      </c>
      <c r="H41" s="3">
        <f t="shared" si="2"/>
        <v>0</v>
      </c>
      <c r="I41" s="3">
        <f t="shared" si="2"/>
        <v>0</v>
      </c>
      <c r="J41" s="3">
        <f t="shared" si="2"/>
        <v>0</v>
      </c>
      <c r="K41" s="3">
        <f t="shared" si="2"/>
        <v>0</v>
      </c>
    </row>
    <row r="42" spans="2:14" x14ac:dyDescent="0.2">
      <c r="B42" s="26" t="s">
        <v>48</v>
      </c>
      <c r="C42" s="27">
        <f>C$40+2*C$35</f>
        <v>18.946118761159624</v>
      </c>
      <c r="D42" s="27">
        <f>D$40+2*D$35</f>
        <v>18.879595792643421</v>
      </c>
      <c r="E42" s="27">
        <f>E$40+2*E$35</f>
        <v>18.819827808356511</v>
      </c>
      <c r="F42" s="27">
        <f>F$40+2*F$35</f>
        <v>18.69741700984855</v>
      </c>
      <c r="G42" s="28"/>
      <c r="H42" s="29">
        <f>H$35*(1-BackgroundInfo1!$B$5)*PartD!$B$18</f>
        <v>0</v>
      </c>
      <c r="I42" s="30">
        <f>D42/$C42-1</f>
        <v>-3.511166025865875E-3</v>
      </c>
      <c r="J42" s="30">
        <f>E42/$C42-1</f>
        <v>-6.6657954800756203E-3</v>
      </c>
      <c r="K42" s="30">
        <f>F42/$C42-1</f>
        <v>-1.3126791531620885E-2</v>
      </c>
    </row>
    <row r="43" spans="2:14" x14ac:dyDescent="0.2">
      <c r="B43" s="18" t="s">
        <v>123</v>
      </c>
    </row>
    <row r="44" spans="2:14" x14ac:dyDescent="0.2">
      <c r="B44" s="2" t="s">
        <v>41</v>
      </c>
      <c r="C44" s="12">
        <f>2*C$35*C$38</f>
        <v>6.3697968590614318</v>
      </c>
      <c r="D44" s="12">
        <f>2*D$35*D$38</f>
        <v>6.7555852214131011</v>
      </c>
      <c r="E44" s="12">
        <f>2*E$35*E$38</f>
        <v>7.1115980158314978</v>
      </c>
      <c r="F44" s="12">
        <f>2*F$35*F$38</f>
        <v>7.8685160048573604</v>
      </c>
      <c r="H44" s="3">
        <f t="shared" ref="H44:K45" si="3">C44/$C44-1</f>
        <v>0</v>
      </c>
      <c r="I44" s="8">
        <f t="shared" si="3"/>
        <v>6.0565253631732707E-2</v>
      </c>
      <c r="J44" s="8">
        <f t="shared" si="3"/>
        <v>0.11645601471808442</v>
      </c>
      <c r="K44" s="8">
        <f t="shared" si="3"/>
        <v>0.23528523420082181</v>
      </c>
    </row>
    <row r="45" spans="2:14" x14ac:dyDescent="0.2">
      <c r="B45" s="2" t="s">
        <v>46</v>
      </c>
      <c r="C45" s="12">
        <f>C40*C41</f>
        <v>17.051506885043661</v>
      </c>
      <c r="D45" s="12">
        <f>D40*D41</f>
        <v>17.078898695609158</v>
      </c>
      <c r="E45" s="12">
        <f>E40*E41</f>
        <v>17.103509042080237</v>
      </c>
      <c r="F45" s="12">
        <f>F40*F41</f>
        <v>17.153913488524694</v>
      </c>
      <c r="H45" s="3">
        <f t="shared" si="3"/>
        <v>0</v>
      </c>
      <c r="I45" s="8">
        <f t="shared" si="3"/>
        <v>1.6064158288275898E-3</v>
      </c>
      <c r="J45" s="8">
        <f t="shared" si="3"/>
        <v>3.0497103503612788E-3</v>
      </c>
      <c r="K45" s="8">
        <f t="shared" si="3"/>
        <v>6.0057216157742843E-3</v>
      </c>
    </row>
    <row r="46" spans="2:14" x14ac:dyDescent="0.2">
      <c r="B46" s="2" t="s">
        <v>34</v>
      </c>
      <c r="C46" s="12">
        <f>C$33*(C$37-C$36)^2</f>
        <v>0.15318913840376094</v>
      </c>
      <c r="D46" s="12">
        <f>D$33*(D$37-D$36)^2</f>
        <v>0.23335351545250602</v>
      </c>
      <c r="E46" s="12">
        <f>E$33*(E$37-E$36)^2</f>
        <v>0.26008877592672952</v>
      </c>
      <c r="F46" s="12">
        <f>F$33*(F$37-F$36)^2</f>
        <v>0.1810413567428075</v>
      </c>
      <c r="H46" s="3">
        <f>IF($C46&lt;0.000001,"",C46/$C46-1)</f>
        <v>0</v>
      </c>
      <c r="I46" s="8">
        <f>IF($C46&lt;0.000001,"",D46/$C46-1)</f>
        <v>0.52330326995805443</v>
      </c>
      <c r="J46" s="8">
        <f>IF($C46&lt;0.000001,"",E46/$C46-1)</f>
        <v>0.69782778751071084</v>
      </c>
      <c r="K46" s="8">
        <f>IF($C46&lt;0.000001,"",F46/$C46-1)</f>
        <v>0.18181588217851585</v>
      </c>
    </row>
    <row r="47" spans="2:14" x14ac:dyDescent="0.2">
      <c r="B47" s="2" t="s">
        <v>35</v>
      </c>
      <c r="C47" s="12">
        <f>SUM(C44:C46)</f>
        <v>23.574492882508853</v>
      </c>
      <c r="D47" s="12">
        <f>SUM(D44:D46)</f>
        <v>24.067837432474768</v>
      </c>
      <c r="E47" s="12">
        <f>SUM(E44:E46)</f>
        <v>24.475195833838463</v>
      </c>
      <c r="F47" s="12">
        <f>SUM(F44:F46)</f>
        <v>25.203470850124862</v>
      </c>
      <c r="H47" s="3">
        <f t="shared" ref="H47:K51" si="4">C47/$C47-1</f>
        <v>0</v>
      </c>
      <c r="I47" s="8">
        <f t="shared" si="4"/>
        <v>2.0927048247640245E-2</v>
      </c>
      <c r="J47" s="8">
        <f t="shared" si="4"/>
        <v>3.8206673450773998E-2</v>
      </c>
      <c r="K47" s="8">
        <f t="shared" si="4"/>
        <v>6.9099173235010802E-2</v>
      </c>
    </row>
    <row r="48" spans="2:14" x14ac:dyDescent="0.2">
      <c r="B48" s="52" t="s">
        <v>122</v>
      </c>
      <c r="C48" s="12"/>
      <c r="D48" s="12"/>
      <c r="E48" s="12"/>
      <c r="F48" s="12"/>
      <c r="H48" s="3"/>
      <c r="I48" s="8"/>
      <c r="J48" s="8"/>
      <c r="K48" s="8"/>
    </row>
    <row r="49" spans="2:11" x14ac:dyDescent="0.2">
      <c r="B49" s="53" t="s">
        <v>41</v>
      </c>
      <c r="C49" s="12">
        <f>C$35*2*C$37*BackgroundInfo1!$C$40</f>
        <v>0.92317036209377146</v>
      </c>
      <c r="D49" s="12">
        <f>D$35*2*D$37*MAX(0,BackgroundInfo1!$C$40-D$25)</f>
        <v>0</v>
      </c>
      <c r="E49" s="12">
        <f>E$35*2*E$37*MAX(0,BackgroundInfo1!$C$40-E$25)</f>
        <v>0</v>
      </c>
      <c r="F49" s="12">
        <f>F$35*2*F$37*MAX(0,BackgroundInfo1!$C$40-F$25)</f>
        <v>0</v>
      </c>
      <c r="H49" s="3">
        <f t="shared" ref="H49" si="5">C49/$C49-1</f>
        <v>0</v>
      </c>
      <c r="I49" s="3">
        <f t="shared" ref="I49" si="6">D49/$C49-1</f>
        <v>-1</v>
      </c>
      <c r="J49" s="3">
        <f t="shared" ref="J49" si="7">E49/$C49-1</f>
        <v>-1</v>
      </c>
      <c r="K49" s="3">
        <f t="shared" ref="K49" si="8">F49/$C49-1</f>
        <v>-1</v>
      </c>
    </row>
    <row r="50" spans="2:11" x14ac:dyDescent="0.2">
      <c r="B50" s="2" t="s">
        <v>46</v>
      </c>
      <c r="C50" s="12">
        <f>C$45*BackgroundInfo1!$C$40</f>
        <v>1.729884373634601</v>
      </c>
      <c r="D50" s="12">
        <f>D$45*BackgroundInfo1!$C$40</f>
        <v>1.7326632872744492</v>
      </c>
      <c r="E50" s="12">
        <f>E$45*BackgroundInfo1!$C$40</f>
        <v>1.7351600199138029</v>
      </c>
      <c r="F50" s="12">
        <f>F$45*BackgroundInfo1!$C$40</f>
        <v>1.7402735776101288</v>
      </c>
      <c r="H50" s="3">
        <f t="shared" ref="H50" si="9">C50/$C50-1</f>
        <v>0</v>
      </c>
      <c r="I50" s="8">
        <f t="shared" ref="I50" si="10">D50/$C50-1</f>
        <v>1.6064158288275898E-3</v>
      </c>
      <c r="J50" s="8">
        <f t="shared" ref="J50" si="11">E50/$C50-1</f>
        <v>3.0497103503612788E-3</v>
      </c>
      <c r="K50" s="8">
        <f t="shared" ref="K50" si="12">F50/$C50-1</f>
        <v>6.0057216157745064E-3</v>
      </c>
    </row>
    <row r="51" spans="2:11" x14ac:dyDescent="0.2">
      <c r="B51" s="31" t="s">
        <v>51</v>
      </c>
      <c r="C51" s="32">
        <f>C$25*2*C$35*C$37</f>
        <v>2.7299129395977566</v>
      </c>
      <c r="D51" s="32">
        <f>D$25*2*D$35*D$37</f>
        <v>2.3123144046447526</v>
      </c>
      <c r="E51" s="32">
        <f>E$25*2*E$35*E$37</f>
        <v>1.8904247890184993</v>
      </c>
      <c r="F51" s="32">
        <f>F$25*2*F$35*F$37</f>
        <v>0.88839304521180951</v>
      </c>
      <c r="G51" s="33"/>
      <c r="H51" s="34">
        <f t="shared" si="4"/>
        <v>0</v>
      </c>
      <c r="I51" s="35">
        <f t="shared" si="4"/>
        <v>-0.15297137461626731</v>
      </c>
      <c r="J51" s="35">
        <f t="shared" si="4"/>
        <v>-0.30751462378245409</v>
      </c>
      <c r="K51" s="35">
        <f t="shared" si="4"/>
        <v>-0.67457092410327513</v>
      </c>
    </row>
    <row r="52" spans="2:11" x14ac:dyDescent="0.2">
      <c r="B52" s="31" t="s">
        <v>126</v>
      </c>
      <c r="C52" s="32">
        <f>C47-C49-C50</f>
        <v>20.921438146780481</v>
      </c>
      <c r="D52" s="32">
        <f>D47-D49-D50</f>
        <v>22.33517414520032</v>
      </c>
      <c r="E52" s="32">
        <f>E47-E49-E50</f>
        <v>22.74003581392466</v>
      </c>
      <c r="F52" s="32">
        <f>F47-F49-F50</f>
        <v>23.463197272514734</v>
      </c>
      <c r="G52" s="33"/>
      <c r="H52" s="34">
        <f t="shared" ref="H52" si="13">C52/$C52-1</f>
        <v>0</v>
      </c>
      <c r="I52" s="35">
        <f t="shared" ref="I52" si="14">D52/$C52-1</f>
        <v>6.7573557252678329E-2</v>
      </c>
      <c r="J52" s="35">
        <f t="shared" ref="J52" si="15">E52/$C52-1</f>
        <v>8.6925079164504648E-2</v>
      </c>
      <c r="K52" s="35">
        <f t="shared" ref="K52" si="16">F52/$C52-1</f>
        <v>0.12149065030337769</v>
      </c>
    </row>
    <row r="53" spans="2:11" x14ac:dyDescent="0.2">
      <c r="B53" s="31"/>
      <c r="C53" s="32"/>
      <c r="D53" s="32"/>
      <c r="E53" s="32"/>
      <c r="F53" s="32"/>
      <c r="G53" s="33"/>
      <c r="H53" s="34"/>
      <c r="I53" s="35"/>
      <c r="J53" s="35"/>
      <c r="K53" s="35"/>
    </row>
    <row r="54" spans="2:11" x14ac:dyDescent="0.2">
      <c r="H54" s="205" t="s">
        <v>50</v>
      </c>
      <c r="I54" s="205"/>
      <c r="J54" s="205"/>
      <c r="K54" s="205"/>
    </row>
    <row r="55" spans="2:11" x14ac:dyDescent="0.2">
      <c r="B55" s="2" t="s">
        <v>49</v>
      </c>
      <c r="C55" s="12">
        <f>C$35*(($B$8+$B$7)*C$35+2*$B$8*($B$7-1))/($B$7*($B$8+1))-2*C$35-C$46</f>
        <v>16.799607570809101</v>
      </c>
      <c r="D55" s="12">
        <f>D$35*(($B$8+$B$7)*D$35+2*$B$8*($B$7-1))/($B$7*($B$8+1))-2*D$35-D$46</f>
        <v>16.59782948424257</v>
      </c>
      <c r="E55" s="12">
        <f>E$35*(($B$8+$B$7)*E$35+2*$B$8*($B$7-1))/($B$7*($B$8+1))-2*E$35-E$46</f>
        <v>16.397892294013452</v>
      </c>
      <c r="F55" s="12">
        <f>F$35*(($B$8+$B$7)*F$35+2*$B$8*($B$7-1))/($B$7*($B$8+1))-2*F$35-F$46</f>
        <v>15.93330524432138</v>
      </c>
      <c r="H55" s="3">
        <f t="shared" ref="H55:K57" si="17">(C55-$C55)/$C$51</f>
        <v>0</v>
      </c>
      <c r="I55" s="8">
        <f t="shared" si="17"/>
        <v>-7.391374414902116E-2</v>
      </c>
      <c r="J55" s="8">
        <f t="shared" si="17"/>
        <v>-0.14715314579037098</v>
      </c>
      <c r="K55" s="8">
        <f t="shared" si="17"/>
        <v>-0.31733697947721662</v>
      </c>
    </row>
    <row r="56" spans="2:11" x14ac:dyDescent="0.2">
      <c r="B56" s="2" t="s">
        <v>52</v>
      </c>
      <c r="C56" s="12">
        <f>(C$38-1)*2*C$35</f>
        <v>4.4751849829454695</v>
      </c>
      <c r="D56" s="12">
        <f>(D$38-1)*2*D$35</f>
        <v>4.9548881243788383</v>
      </c>
      <c r="E56" s="12">
        <f>(E$38-1)*2*E$35</f>
        <v>5.3952792495552249</v>
      </c>
      <c r="F56" s="12">
        <f>(F$38-1)*2*F$35</f>
        <v>6.3250124835335058</v>
      </c>
      <c r="H56" s="3">
        <f t="shared" si="17"/>
        <v>0</v>
      </c>
      <c r="I56" s="8">
        <f t="shared" si="17"/>
        <v>0.17572104021165283</v>
      </c>
      <c r="J56" s="8">
        <f t="shared" si="17"/>
        <v>0.33704161523382797</v>
      </c>
      <c r="K56" s="8">
        <f t="shared" si="17"/>
        <v>0.67761410034585279</v>
      </c>
    </row>
    <row r="57" spans="2:11" x14ac:dyDescent="0.2">
      <c r="B57" s="2" t="s">
        <v>53</v>
      </c>
      <c r="C57" s="12">
        <f>C55-C56</f>
        <v>12.324422587863632</v>
      </c>
      <c r="D57" s="12">
        <f>D55-D56</f>
        <v>11.642941359863732</v>
      </c>
      <c r="E57" s="12">
        <f>E55-E56</f>
        <v>11.002613044458228</v>
      </c>
      <c r="F57" s="12">
        <f>F55-F56</f>
        <v>9.6082927607878741</v>
      </c>
      <c r="H57" s="3">
        <f t="shared" si="17"/>
        <v>0</v>
      </c>
      <c r="I57" s="8">
        <f t="shared" si="17"/>
        <v>-0.24963478436067399</v>
      </c>
      <c r="J57" s="8">
        <f t="shared" si="17"/>
        <v>-0.48419476102419895</v>
      </c>
      <c r="K57" s="8">
        <f t="shared" si="17"/>
        <v>-0.99495107982306941</v>
      </c>
    </row>
    <row r="58" spans="2:11" x14ac:dyDescent="0.2">
      <c r="B58" s="55" t="s">
        <v>117</v>
      </c>
      <c r="C58" s="48"/>
      <c r="D58" s="48"/>
      <c r="E58" s="48"/>
      <c r="F58" s="48"/>
      <c r="G58" s="48"/>
      <c r="H58" s="50">
        <f>H42*BenefitParams!$B$21*$C$47/$C$51</f>
        <v>0</v>
      </c>
      <c r="I58" s="49">
        <f>I42*BenefitParams!$B$21/BackgroundInfo1!$B$8</f>
        <v>-8.8939598110640491E-3</v>
      </c>
      <c r="J58" s="49">
        <f>J42*BenefitParams!$B$21/BackgroundInfo1!$B$8</f>
        <v>-1.6884794587275275E-2</v>
      </c>
      <c r="K58" s="49">
        <f>K42*BenefitParams!$B$21/BackgroundInfo1!$B$8</f>
        <v>-3.3250821940742893E-2</v>
      </c>
    </row>
    <row r="59" spans="2:11" x14ac:dyDescent="0.2">
      <c r="B59" s="47" t="s">
        <v>131</v>
      </c>
      <c r="C59" s="48"/>
      <c r="D59" s="48"/>
      <c r="E59" s="48"/>
      <c r="F59" s="48"/>
      <c r="G59" s="48"/>
      <c r="H59" s="50">
        <f>H58*BenefitParams!$B$12</f>
        <v>0</v>
      </c>
      <c r="I59" s="49">
        <f>I58*BenefitParams!$B$12</f>
        <v>-3.6691538447675572E-3</v>
      </c>
      <c r="J59" s="49">
        <f>J58*BenefitParams!$B$12</f>
        <v>-6.965728459998476E-3</v>
      </c>
      <c r="K59" s="49">
        <f>K58*BenefitParams!$B$12</f>
        <v>-1.3717442371820454E-2</v>
      </c>
    </row>
    <row r="60" spans="2:11" x14ac:dyDescent="0.2">
      <c r="B60" s="31" t="s">
        <v>125</v>
      </c>
      <c r="C60" s="33"/>
      <c r="D60" s="33"/>
      <c r="E60" s="33"/>
      <c r="F60" s="33"/>
      <c r="G60" s="33"/>
      <c r="H60" s="58">
        <f>H$52*$C$52/$C$51-H$58*(1-BackgroundInfo1!$D$41)</f>
        <v>0</v>
      </c>
      <c r="I60" s="56">
        <f>I$52*$C$52/$C$51-I$58*(1-BackgroundInfo1!$D$41)</f>
        <v>0.5258567304347217</v>
      </c>
      <c r="J60" s="56">
        <f>J$52*$C$52/$C$51-J$58*(1-BackgroundInfo1!$D$41)</f>
        <v>0.68133948786669274</v>
      </c>
      <c r="K60" s="56">
        <f>K$52*$C$52/$C$51-K$58*(1-BackgroundInfo1!$D$41)</f>
        <v>0.96094155850854956</v>
      </c>
    </row>
    <row r="61" spans="2:11" x14ac:dyDescent="0.2">
      <c r="B61" s="54" t="s">
        <v>33</v>
      </c>
      <c r="C61" s="33"/>
      <c r="D61" s="33"/>
      <c r="E61" s="33"/>
      <c r="F61" s="33"/>
      <c r="G61" s="33"/>
      <c r="H61" s="34">
        <f>(C$38-$C$38)*2*$C$35/$C$51</f>
        <v>0</v>
      </c>
      <c r="I61" s="35">
        <f>(D$38-$C$38)*2*$C$35/$C$51</f>
        <v>0.2703836193313035</v>
      </c>
      <c r="J61" s="35">
        <f>(E$38-$C$38)*2*$C$35/$C$51</f>
        <v>0.54234766164613513</v>
      </c>
      <c r="K61" s="35">
        <f>(F$38-$C$38)*2*$C$35/$C$51</f>
        <v>1.2046571969596358</v>
      </c>
    </row>
    <row r="62" spans="2:11" x14ac:dyDescent="0.2">
      <c r="B62" s="54" t="s">
        <v>127</v>
      </c>
      <c r="C62" s="33"/>
      <c r="D62" s="33"/>
      <c r="E62" s="33"/>
      <c r="F62" s="33"/>
      <c r="G62" s="33"/>
      <c r="H62" s="34">
        <f>2*(C$35-$C$35)*$C$38/$C$51</f>
        <v>0</v>
      </c>
      <c r="I62" s="35">
        <f>2*(D$35-$C$35)*$C$38/$C$51</f>
        <v>-0.11566193967558157</v>
      </c>
      <c r="J62" s="35">
        <f>2*(E$35-$C$35)*$C$38/$C$51</f>
        <v>-0.21957914522601918</v>
      </c>
      <c r="K62" s="35">
        <f>2*(F$35-$C$35)*$C$38/$C$51</f>
        <v>-0.43241195633575041</v>
      </c>
    </row>
    <row r="63" spans="2:11" x14ac:dyDescent="0.2">
      <c r="B63" s="54" t="s">
        <v>128</v>
      </c>
      <c r="C63" s="33"/>
      <c r="D63" s="33"/>
      <c r="E63" s="33"/>
      <c r="F63" s="33"/>
      <c r="G63" s="33"/>
      <c r="H63" s="34">
        <f>(1-BackgroundInfo1!$C$40)*(C$40-$C$40)/$C$51</f>
        <v>0</v>
      </c>
      <c r="I63" s="35">
        <f>(1-BackgroundInfo1!$C$40)*(D$40-$C$40)/$C$51</f>
        <v>9.016000682159327E-3</v>
      </c>
      <c r="J63" s="35">
        <f>(1-BackgroundInfo1!$C$40)*(E$40-$C$40)/$C$51</f>
        <v>1.7116483855437088E-2</v>
      </c>
      <c r="K63" s="35">
        <f>(1-BackgroundInfo1!$C$40)*(F$40-$C$40)/$C$51</f>
        <v>3.3707082072391391E-2</v>
      </c>
    </row>
    <row r="64" spans="2:11" x14ac:dyDescent="0.2">
      <c r="B64" s="54" t="s">
        <v>129</v>
      </c>
      <c r="H64" s="34">
        <f>(C$38-$C$38)*2*(C$35-$C$35)/$C$51</f>
        <v>0</v>
      </c>
      <c r="I64" s="35">
        <f>(D$38-$C$38)*2*(D$35-$C$35)/$C$51</f>
        <v>-1.3402754515012556E-2</v>
      </c>
      <c r="J64" s="35">
        <f>(E$38-$C$38)*2*(E$35-$C$35)/$C$51</f>
        <v>-5.1037815411252269E-2</v>
      </c>
      <c r="K64" s="35">
        <f>(F$38-$C$38)*2*(F$35-$C$35)/$C$51</f>
        <v>-0.22324636082196753</v>
      </c>
    </row>
    <row r="65" spans="2:11" x14ac:dyDescent="0.2">
      <c r="B65" s="54" t="s">
        <v>130</v>
      </c>
      <c r="H65" s="34">
        <f>($C$49-C$49)/$C$51</f>
        <v>0</v>
      </c>
      <c r="I65" s="35">
        <f>($C$49-D$49)/$C$51</f>
        <v>0.33816842607068542</v>
      </c>
      <c r="J65" s="35">
        <f>($C$49-E$49)/$C$51</f>
        <v>0.33816842607068542</v>
      </c>
      <c r="K65" s="35">
        <f>($C$49-F$49)/$C$51</f>
        <v>0.33816842607068542</v>
      </c>
    </row>
    <row r="66" spans="2:11" x14ac:dyDescent="0.2">
      <c r="B66" s="54" t="s">
        <v>132</v>
      </c>
      <c r="H66" s="34">
        <f>(C$46-$C$46)/$C$51</f>
        <v>0</v>
      </c>
      <c r="I66" s="35">
        <f>(D$46-$C$46)/$C$51</f>
        <v>2.9365177140248663E-2</v>
      </c>
      <c r="J66" s="35">
        <f>(E$46-$C$46)/$C$51</f>
        <v>3.9158625160668994E-2</v>
      </c>
      <c r="K66" s="35">
        <f>(F$46-$C$46)/$C$51</f>
        <v>1.0202603143509214E-2</v>
      </c>
    </row>
    <row r="67" spans="2:11" x14ac:dyDescent="0.2">
      <c r="B67" s="54" t="s">
        <v>133</v>
      </c>
      <c r="H67" s="34">
        <f>-H58*(1-BackgroundInfo1!$D$41)</f>
        <v>0</v>
      </c>
      <c r="I67" s="35">
        <f>-I58*(1-BackgroundInfo1!$D$41)</f>
        <v>7.9882014009172841E-3</v>
      </c>
      <c r="J67" s="35">
        <f>-J58*(1-BackgroundInfo1!$D$41)</f>
        <v>1.5165251771037221E-2</v>
      </c>
      <c r="K67" s="35">
        <f>-K58*(1-BackgroundInfo1!$D$41)</f>
        <v>2.9864567420045066E-2</v>
      </c>
    </row>
    <row r="68" spans="2:11" x14ac:dyDescent="0.2">
      <c r="B68" s="54" t="s">
        <v>137</v>
      </c>
      <c r="H68" s="34">
        <f>BenefitParams!$B$6*(PartD!C$52-PartD!$C$52)/PartD!$C$51+BenefitParams!$B$7*PartD!H$67</f>
        <v>0</v>
      </c>
      <c r="I68" s="35">
        <f>BenefitParams!$B$6*(PartD!D$52-PartD!$C$52)/PartD!$C$51+BenefitParams!$B$7*PartD!I$67</f>
        <v>0.39176326417386748</v>
      </c>
      <c r="J68" s="35">
        <f>BenefitParams!$B$6*(PartD!E$52-PartD!$C$52)/PartD!$C$51+BenefitParams!$B$7*PartD!J$67</f>
        <v>0.50759791846068547</v>
      </c>
      <c r="K68" s="35">
        <f>BenefitParams!$B$6*(PartD!F$52-PartD!$C$52)/PartD!$C$51+BenefitParams!$B$7*PartD!K$67</f>
        <v>0.71590146108886898</v>
      </c>
    </row>
    <row r="69" spans="2:11" x14ac:dyDescent="0.2">
      <c r="B69" s="54" t="s">
        <v>138</v>
      </c>
      <c r="H69" s="34">
        <f>H68*BackgroundInfo2!$B$15</f>
        <v>0</v>
      </c>
      <c r="I69" s="35">
        <f>I68*BackgroundInfo2!$B$15</f>
        <v>0.19588163208693374</v>
      </c>
      <c r="J69" s="35">
        <f>J68*BackgroundInfo2!$B$15</f>
        <v>0.25379895923034274</v>
      </c>
      <c r="K69" s="35">
        <f>K68*BackgroundInfo2!$B$15</f>
        <v>0.35795073054443449</v>
      </c>
    </row>
    <row r="70" spans="2:11" x14ac:dyDescent="0.2">
      <c r="B70" s="72" t="s">
        <v>158</v>
      </c>
      <c r="H70" s="74">
        <f>(C$78-$C$78)*BackgroundInfo2!$B$26/PartD!$C$51</f>
        <v>0</v>
      </c>
      <c r="I70" s="75">
        <f>(D$78-$C$78)*BackgroundInfo2!$B$26/PartD!$C$51</f>
        <v>-2.8340612009522939E-2</v>
      </c>
      <c r="J70" s="75">
        <f>(E$78-$C$78)*BackgroundInfo2!$B$26/PartD!$C$51</f>
        <v>-5.4322923168822722E-2</v>
      </c>
      <c r="K70" s="75">
        <f>(F$78-$C$78)*BackgroundInfo2!$B$26/PartD!$C$51</f>
        <v>-9.4555013950131314E-2</v>
      </c>
    </row>
    <row r="71" spans="2:11" x14ac:dyDescent="0.2">
      <c r="B71" s="54"/>
      <c r="H71" s="34"/>
      <c r="I71" s="35"/>
      <c r="J71" s="35"/>
      <c r="K71" s="35"/>
    </row>
    <row r="72" spans="2:11" x14ac:dyDescent="0.2">
      <c r="B72" s="55" t="s">
        <v>152</v>
      </c>
      <c r="H72" s="34"/>
      <c r="I72" s="35"/>
      <c r="J72" s="35"/>
      <c r="K72" s="35"/>
    </row>
    <row r="73" spans="2:11" x14ac:dyDescent="0.2">
      <c r="B73" s="72" t="s">
        <v>27</v>
      </c>
      <c r="C73" s="73">
        <f>(1-0.5*$B$7/$B$8)*(C$33-4*($B$8+1)*(2*$B$8-$B$7)*$B$7/(($B$8+$B$7)*$B$8))/(C$33-2*($B$8+1)*(2*$B$8-$B$7)*$B$7/(($B$8+$B$7)*$B$8))</f>
        <v>1.513130223459566</v>
      </c>
      <c r="D73" s="73">
        <f>(1-0.5*$B$7/$B$8)*(D$33-4*($B$8+1)*(2*$B$8-$B$7)*$B$7/(($B$8+$B$7)*$B$8))/(D$33-2*($B$8+1)*(2*$B$8-$B$7)*$B$7/(($B$8+$B$7)*$B$8))</f>
        <v>1.4361079111830586</v>
      </c>
      <c r="E73" s="73">
        <f>(1-0.5*$B$7/$B$8)*(E$33-4*($B$8+1)*(2*$B$8-$B$7)*$B$7/(($B$8+$B$7)*$B$8))/(E$33-2*($B$8+1)*(2*$B$8-$B$7)*$B$7/(($B$8+$B$7)*$B$8))</f>
        <v>1.3510433275050022</v>
      </c>
      <c r="F73" s="73">
        <f>(1-0.5*$B$7/$B$8)*(F$33-4*($B$8+1)*(2*$B$8-$B$7)*$B$7/(($B$8+$B$7)*$B$8))/(F$33-2*($B$8+1)*(2*$B$8-$B$7)*$B$7/(($B$8+$B$7)*$B$8))</f>
        <v>1.1027536151641368</v>
      </c>
      <c r="G73" s="61"/>
      <c r="H73" s="74">
        <f t="shared" ref="H73" si="18">C73/$C73-1</f>
        <v>0</v>
      </c>
      <c r="I73" s="75">
        <f t="shared" ref="I73" si="19">D73/$C73-1</f>
        <v>-5.0902632888005117E-2</v>
      </c>
      <c r="J73" s="75">
        <f t="shared" ref="J73" si="20">E73/$C73-1</f>
        <v>-0.107120255376285</v>
      </c>
      <c r="K73" s="75">
        <f t="shared" ref="K73" si="21">F73/$C73-1</f>
        <v>-0.27121037035210294</v>
      </c>
    </row>
    <row r="74" spans="2:11" x14ac:dyDescent="0.2">
      <c r="B74" s="72" t="s">
        <v>29</v>
      </c>
      <c r="C74" s="73">
        <f>(C$33*($B$7-$B$8+2*$B$7*$B$8)-4*($B$8+1)*($B$8+1)*(2*$B$8-$B$7)*$B$7*$B$7/(($B$8+$B$7)*$B$8))/(C$33-2*($B$8+1)*(2*$B$8-$B$7)*$B$7/(($B$8+$B$7)*$B$8))/(2*$B$7*($B$8+1))</f>
        <v>1.7537597060130792</v>
      </c>
      <c r="D74" s="73">
        <f>(D$33*($B$7-$B$8+2*$B$7*$B$8)-4*($B$8+1)*($B$8+1)*(2*$B$8-$B$7)*$B$7*$B$7/(($B$8+$B$7)*$B$8))/(D$33-2*($B$8+1)*(2*$B$8-$B$7)*$B$7/(($B$8+$B$7)*$B$8))/(2*$B$7*($B$8+1))</f>
        <v>2.5807361115082132</v>
      </c>
      <c r="E74" s="73">
        <f>(E$33*($B$7-$B$8+2*$B$7*$B$8)-4*($B$8+1)*($B$8+1)*(2*$B$8-$B$7)*$B$7*$B$7/(($B$8+$B$7)*$B$8))/(E$33-2*($B$8+1)*(2*$B$8-$B$7)*$B$7/(($B$8+$B$7)*$B$8))/(2*$B$7*($B$8+1))</f>
        <v>3.4940611152094494</v>
      </c>
      <c r="F74" s="73">
        <f>(F$33*($B$7-$B$8+2*$B$7*$B$8)-4*($B$8+1)*($B$8+1)*(2*$B$8-$B$7)*$B$7*$B$7/(($B$8+$B$7)*$B$8))/(F$33-2*($B$8+1)*(2*$B$8-$B$7)*$B$7/(($B$8+$B$7)*$B$8))/(2*$B$7*($B$8+1))</f>
        <v>6.1599085529745308</v>
      </c>
      <c r="G74" s="61"/>
      <c r="H74" s="74">
        <f t="shared" ref="H74" si="22">C74/$C74-1</f>
        <v>0</v>
      </c>
      <c r="I74" s="75">
        <f t="shared" ref="I74" si="23">D74/$C74-1</f>
        <v>0.47154487736244444</v>
      </c>
      <c r="J74" s="75">
        <f t="shared" ref="J74" si="24">E74/$C74-1</f>
        <v>0.99232603145655318</v>
      </c>
      <c r="K74" s="75">
        <f t="shared" ref="K74" si="25">F74/$C74-1</f>
        <v>2.5124016887001002</v>
      </c>
    </row>
    <row r="75" spans="2:11" x14ac:dyDescent="0.2">
      <c r="B75" s="72" t="s">
        <v>30</v>
      </c>
      <c r="C75" s="61">
        <f>($B$7-$B$8+2*$B$7*$B$8)/(2*$B$7*($B$8+1))</f>
        <v>9.5000000000000018</v>
      </c>
      <c r="D75" s="61">
        <f>($B$7-$B$8+2*$B$7*$B$8)/(2*$B$7*($B$8+1))</f>
        <v>9.5000000000000018</v>
      </c>
      <c r="E75" s="61">
        <f>($B$7-$B$8+2*$B$7*$B$8)/(2*$B$7*($B$8+1))</f>
        <v>9.5000000000000018</v>
      </c>
      <c r="F75" s="61">
        <f>($B$7-$B$8+2*$B$7*$B$8)/(2*$B$7*($B$8+1))</f>
        <v>9.5000000000000018</v>
      </c>
      <c r="G75" s="61"/>
      <c r="H75" s="74"/>
      <c r="I75" s="75"/>
      <c r="J75" s="75"/>
      <c r="K75" s="75"/>
    </row>
    <row r="76" spans="2:11" x14ac:dyDescent="0.2">
      <c r="B76" s="72" t="s">
        <v>150</v>
      </c>
      <c r="C76" s="73">
        <f>(2*$B$8-$B$7)*(C$33*C$33*($B$7-$B$8+2*$B$7*$B$8)-2*C$33*($B$8+1)*(2*$B$8-$B$7)*$B$7*(7*$B$7-$B$8+8*$B$7*$B$8)/(($B$8+$B$7)*$B$8)+6*($B$8+1)*($B$8+1)*(2*$B$8-$B$7)*(2*$B$8-$B$7)*$B$7*$B$7*(3*$B$7-$B$8+4*$B$7*$B$8)/(($B$8+$B$7)*$B$8*($B$8+$B$7)*$B$8))/(4*$B$8*($B$8+1)*$B$7*(C$33-2*($B$8+1)*(2*$B$8-$B$7)*$B$7/(($B$8+$B$7)*$B$8))^2)</f>
        <v>11.214265325587904</v>
      </c>
      <c r="D76" s="73">
        <f>(2*$B$8-$B$7)*(D$33*D$33*($B$7-$B$8+2*$B$7*$B$8)-2*D$33*($B$8+1)*(2*$B$8-$B$7)*$B$7*(7*$B$7-$B$8+8*$B$7*$B$8)/(($B$8+$B$7)*$B$8)+6*($B$8+1)*($B$8+1)*(2*$B$8-$B$7)*(2*$B$8-$B$7)*$B$7*$B$7*(3*$B$7-$B$8+4*$B$7*$B$8)/(($B$8+$B$7)*$B$8*($B$8+$B$7)*$B$8))/(4*$B$8*($B$8+1)*$B$7*(D$33-2*($B$8+1)*(2*$B$8-$B$7)*$B$7/(($B$8+$B$7)*$B$8))^2)</f>
        <v>10.020553791132251</v>
      </c>
      <c r="E76" s="73">
        <f>(2*$B$8-$B$7)*(E$33*E$33*($B$7-$B$8+2*$B$7*$B$8)-2*E$33*($B$8+1)*(2*$B$8-$B$7)*$B$7*(7*$B$7-$B$8+8*$B$7*$B$8)/(($B$8+$B$7)*$B$8)+6*($B$8+1)*($B$8+1)*(2*$B$8-$B$7)*(2*$B$8-$B$7)*$B$7*$B$7*(3*$B$7-$B$8+4*$B$7*$B$8)/(($B$8+$B$7)*$B$8*($B$8+$B$7)*$B$8))/(4*$B$8*($B$8+1)*$B$7*(E$33-2*($B$8+1)*(2*$B$8-$B$7)*$B$7/(($B$8+$B$7)*$B$8))^2)</f>
        <v>8.9242580957440367</v>
      </c>
      <c r="F76" s="73">
        <f>(2*$B$8-$B$7)*(F$33*F$33*($B$7-$B$8+2*$B$7*$B$8)-2*F$33*($B$8+1)*(2*$B$8-$B$7)*$B$7*(7*$B$7-$B$8+8*$B$7*$B$8)/(($B$8+$B$7)*$B$8)+6*($B$8+1)*($B$8+1)*(2*$B$8-$B$7)*(2*$B$8-$B$7)*$B$7*$B$7*(3*$B$7-$B$8+4*$B$7*$B$8)/(($B$8+$B$7)*$B$8*($B$8+$B$7)*$B$8))/(4*$B$8*($B$8+1)*$B$7*(F$33-2*($B$8+1)*(2*$B$8-$B$7)*$B$7/(($B$8+$B$7)*$B$8))^2)</f>
        <v>7.0573564520362577</v>
      </c>
      <c r="H76" s="74">
        <f t="shared" ref="H76" si="26">C76/$C76-1</f>
        <v>0</v>
      </c>
      <c r="I76" s="75">
        <f t="shared" ref="I76" si="27">D76/$C76-1</f>
        <v>-0.10644580806661752</v>
      </c>
      <c r="J76" s="75">
        <f t="shared" ref="J76" si="28">E76/$C76-1</f>
        <v>-0.20420483762040953</v>
      </c>
      <c r="K76" s="75">
        <f t="shared" ref="K76" si="29">F76/$C76-1</f>
        <v>-0.37068044609812389</v>
      </c>
    </row>
    <row r="77" spans="2:11" x14ac:dyDescent="0.2">
      <c r="B77" s="72" t="s">
        <v>151</v>
      </c>
      <c r="C77" s="73">
        <f>1-0.5*$B$7/$B$8</f>
        <v>0.79166666666666663</v>
      </c>
      <c r="D77" s="73">
        <f>1-0.5*$B$7/$B$8</f>
        <v>0.79166666666666663</v>
      </c>
      <c r="E77" s="73">
        <f>1-0.5*$B$7/$B$8</f>
        <v>0.79166666666666663</v>
      </c>
      <c r="F77" s="73">
        <f>1-0.5*$B$7/$B$8</f>
        <v>0.79166666666666663</v>
      </c>
    </row>
    <row r="78" spans="2:11" x14ac:dyDescent="0.2">
      <c r="B78" s="72" t="s">
        <v>153</v>
      </c>
      <c r="C78" s="73">
        <f>C$76*BackgroundInfo2!$B$22+(BackgroundInfo2!$B$23+BackgroundInfo2!$B$24*BackgroundInfo2!$B$25)*C$38*C$35</f>
        <v>3.5120386776853687</v>
      </c>
      <c r="D78" s="73">
        <f>D$76*BackgroundInfo2!$B$22+(BackgroundInfo2!$B$23+BackgroundInfo2!$B$24*BackgroundInfo2!$B$25)*D$38*D$35</f>
        <v>3.3251201552940541</v>
      </c>
      <c r="E78" s="73">
        <f>E$76*BackgroundInfo2!$B$22+(BackgroundInfo2!$B$23+BackgroundInfo2!$B$24*BackgroundInfo2!$B$25)*E$38*E$35</f>
        <v>3.1537556410564722</v>
      </c>
      <c r="F78" s="73">
        <f>F$76*BackgroundInfo2!$B$22+(BackgroundInfo2!$B$23+BackgroundInfo2!$B$24*BackgroundInfo2!$B$25)*F$38*F$35</f>
        <v>2.8884077029446016</v>
      </c>
      <c r="H78" s="74">
        <f t="shared" ref="H78" si="30">C78/$C78-1</f>
        <v>0</v>
      </c>
      <c r="I78" s="75">
        <f t="shared" ref="I78" si="31">D78/$C78-1</f>
        <v>-5.3222227755904017E-2</v>
      </c>
      <c r="J78" s="75">
        <f t="shared" ref="J78" si="32">E78/$C78-1</f>
        <v>-0.10201568647445114</v>
      </c>
      <c r="K78" s="75">
        <f t="shared" ref="K78" si="33">F78/$C78-1</f>
        <v>-0.17756950648156733</v>
      </c>
    </row>
    <row r="81" spans="3:6" x14ac:dyDescent="0.2">
      <c r="C81" s="3"/>
      <c r="D81" s="3"/>
      <c r="E81" s="3"/>
      <c r="F81" s="3"/>
    </row>
  </sheetData>
  <mergeCells count="8">
    <mergeCell ref="C6:G6"/>
    <mergeCell ref="C19:L20"/>
    <mergeCell ref="H54:K54"/>
    <mergeCell ref="C21:F21"/>
    <mergeCell ref="C9:H9"/>
    <mergeCell ref="C8:H8"/>
    <mergeCell ref="C7:H7"/>
    <mergeCell ref="H21:K21"/>
  </mergeCells>
  <conditionalFormatting sqref="B7:B8">
    <cfRule type="cellIs" dxfId="11" priority="4" operator="lessThan">
      <formula>$M$26</formula>
    </cfRule>
  </conditionalFormatting>
  <conditionalFormatting sqref="D24:F24">
    <cfRule type="cellIs" dxfId="10" priority="3" operator="greaterThan">
      <formula>$B$13</formula>
    </cfRule>
  </conditionalFormatting>
  <conditionalFormatting sqref="B9">
    <cfRule type="cellIs" dxfId="9" priority="2" operator="greaterThan">
      <formula>$B$13</formula>
    </cfRule>
  </conditionalFormatting>
  <conditionalFormatting sqref="C25:F25">
    <cfRule type="cellIs" dxfId="8" priority="1" operator="equal">
      <formula>C$24</formula>
    </cfRule>
  </conditionalFormatting>
  <dataValidations count="7">
    <dataValidation type="custom" operator="lessThan" allowBlank="1" showInputMessage="1" showErrorMessage="1" errorTitle="eta out of range" error="Must be in the interval (own elas,0)." promptTitle="eta" prompt="Industry elasticity of demand" sqref="B7" xr:uid="{2712B127-3F39-FE4A-8C24-12C49CE6AEA9}">
      <formula1>AND(B7&lt;0,B7&gt;B8)</formula1>
    </dataValidation>
    <dataValidation type="custom" operator="lessThan" allowBlank="1" showInputMessage="1" showErrorMessage="1" errorTitle="epsilon out of range" error="Must be less than BOTH -1 and industry elasticity." promptTitle="epsilon" prompt="Own-price elasticity of demand" sqref="B8" xr:uid="{6D2AFB26-A7CC-9E47-AE11-80CB7B4E7909}">
      <formula1>AND(B8&lt;-1,B8&lt;B7)</formula1>
    </dataValidation>
    <dataValidation type="custom" operator="lessThan" allowBlank="1" showInputMessage="1" showErrorMessage="1" errorTitle="Rebate rate out of range" error="Must be positive but below Maximum." promptTitle="Baselinerr" prompt="Baseline rebate rate" sqref="B9" xr:uid="{E9ED1D80-493D-C840-81F3-5543F3049D14}">
      <formula1>AND(B9&gt;0,B9&lt;=$B$13)</formula1>
    </dataValidation>
    <dataValidation type="custom" allowBlank="1" showInputMessage="1" showErrorMessage="1" promptTitle="beta" prompt="Share of management surplus going to plans and patients" sqref="C26" xr:uid="{2D1AB4DB-BCFB-6749-95F3-77E55EA9A70E}">
      <formula1>AND(C26&gt;=$B$15,C26&lt;=$B$16)</formula1>
    </dataValidation>
    <dataValidation type="custom" operator="lessThan" allowBlank="1" showInputMessage="1" showErrorMessage="1" errorTitle="Rebate rate out of range" error="Must be positive but below Maximum." promptTitle="Scenario1rr" prompt="Rebate rate scenario" sqref="D24" xr:uid="{A1236B73-E7DF-A448-AA2E-C256CAFC2481}">
      <formula1>AND(D24&gt;0,D24&lt;=$B$13)</formula1>
    </dataValidation>
    <dataValidation type="custom" operator="lessThan" allowBlank="1" showInputMessage="1" showErrorMessage="1" errorTitle="Rebate rate out of range" error="Must be positive but below Maximum." promptTitle="Scenario2rr" prompt="Rebate rate scenario" sqref="E24" xr:uid="{0EA6B8FF-B563-5849-AC14-4AC379C98A9E}">
      <formula1>AND(E24&gt;0,E24&lt;=$B$13)</formula1>
    </dataValidation>
    <dataValidation type="custom" operator="lessThan" allowBlank="1" showInputMessage="1" showErrorMessage="1" errorTitle="Rebate rate out of range" error="Must be positive but below Maximum." promptTitle="Scenario3rr" prompt="Rebate rate scenario" sqref="F24" xr:uid="{261C500D-E900-3E4F-A9CB-2BD867887CAD}">
      <formula1>AND(F24&gt;0,F24&lt;=$B$13)</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A9037-4A6A-814C-AA91-A4CBE0F0E90C}">
  <dimension ref="A1:N92"/>
  <sheetViews>
    <sheetView showGridLines="0" zoomScaleNormal="100" workbookViewId="0">
      <pane xSplit="2" ySplit="22" topLeftCell="C23" activePane="bottomRight" state="frozen"/>
      <selection pane="topRight" activeCell="C1" sqref="C1"/>
      <selection pane="bottomLeft" activeCell="A21" sqref="A21"/>
      <selection pane="bottomRight" activeCell="C23" sqref="C23"/>
    </sheetView>
  </sheetViews>
  <sheetFormatPr baseColWidth="10" defaultRowHeight="16" x14ac:dyDescent="0.2"/>
  <cols>
    <col min="1" max="1" width="43.33203125" bestFit="1" customWidth="1"/>
    <col min="2" max="2" width="18.83203125" customWidth="1"/>
    <col min="3" max="3" width="10.5" bestFit="1" customWidth="1"/>
    <col min="13" max="14" width="10.83203125" hidden="1" customWidth="1"/>
  </cols>
  <sheetData>
    <row r="1" spans="1:11" x14ac:dyDescent="0.2">
      <c r="A1" s="145" t="s">
        <v>279</v>
      </c>
      <c r="B1" s="141"/>
      <c r="C1" s="141"/>
      <c r="D1" s="141"/>
      <c r="E1" s="141"/>
      <c r="F1" s="141"/>
      <c r="G1" s="141"/>
      <c r="H1" s="141"/>
      <c r="I1" s="141"/>
      <c r="J1" s="141"/>
      <c r="K1" s="141"/>
    </row>
    <row r="2" spans="1:11" x14ac:dyDescent="0.2">
      <c r="A2" s="142" t="s">
        <v>40</v>
      </c>
      <c r="B2" s="141"/>
      <c r="C2" s="141"/>
      <c r="D2" s="141"/>
      <c r="E2" s="141"/>
      <c r="F2" s="141"/>
      <c r="G2" s="141"/>
      <c r="H2" s="141"/>
      <c r="I2" s="141"/>
      <c r="J2" s="141"/>
      <c r="K2" s="141"/>
    </row>
    <row r="3" spans="1:11" x14ac:dyDescent="0.2">
      <c r="A3" s="145" t="s">
        <v>135</v>
      </c>
      <c r="B3" s="141"/>
      <c r="C3" s="141"/>
      <c r="D3" s="141"/>
      <c r="E3" s="141"/>
      <c r="F3" s="141"/>
      <c r="G3" s="141"/>
      <c r="H3" s="141"/>
      <c r="I3" s="141"/>
      <c r="J3" s="141"/>
      <c r="K3" s="141"/>
    </row>
    <row r="4" spans="1:11" x14ac:dyDescent="0.2">
      <c r="A4" s="145" t="s">
        <v>136</v>
      </c>
      <c r="B4" s="141"/>
      <c r="C4" s="141"/>
      <c r="D4" s="141"/>
      <c r="E4" s="141"/>
      <c r="F4" s="141"/>
      <c r="G4" s="141"/>
      <c r="H4" s="141"/>
      <c r="I4" s="141"/>
      <c r="J4" s="141"/>
      <c r="K4" s="141"/>
    </row>
    <row r="5" spans="1:11" x14ac:dyDescent="0.2">
      <c r="A5" s="141"/>
      <c r="B5" s="141"/>
      <c r="C5" s="141"/>
      <c r="D5" s="141"/>
      <c r="E5" s="141"/>
      <c r="F5" s="141"/>
      <c r="G5" s="141"/>
      <c r="H5" s="141"/>
      <c r="I5" s="141"/>
      <c r="J5" s="141"/>
      <c r="K5" s="141"/>
    </row>
    <row r="6" spans="1:11" x14ac:dyDescent="0.2">
      <c r="A6" s="143" t="s">
        <v>1</v>
      </c>
      <c r="B6" s="146" t="s">
        <v>2</v>
      </c>
      <c r="C6" s="210" t="s">
        <v>3</v>
      </c>
      <c r="D6" s="210"/>
      <c r="E6" s="210"/>
      <c r="F6" s="210"/>
      <c r="G6" s="210"/>
      <c r="H6" s="143"/>
      <c r="I6" s="143"/>
      <c r="J6" s="143"/>
      <c r="K6" s="143"/>
    </row>
    <row r="7" spans="1:11" x14ac:dyDescent="0.2">
      <c r="A7" s="141" t="s">
        <v>239</v>
      </c>
      <c r="B7" s="4">
        <v>-0.25</v>
      </c>
      <c r="C7" s="212" t="s">
        <v>6</v>
      </c>
      <c r="D7" s="213"/>
      <c r="E7" s="213"/>
      <c r="F7" s="213"/>
      <c r="G7" s="213"/>
      <c r="H7" s="213"/>
      <c r="I7" s="141"/>
      <c r="J7" s="141"/>
      <c r="K7" s="141"/>
    </row>
    <row r="8" spans="1:11" x14ac:dyDescent="0.2">
      <c r="A8" s="141" t="s">
        <v>240</v>
      </c>
      <c r="B8" s="4">
        <v>-1.1000000000000001</v>
      </c>
      <c r="C8" s="212" t="s">
        <v>241</v>
      </c>
      <c r="D8" s="213"/>
      <c r="E8" s="213"/>
      <c r="F8" s="213"/>
      <c r="G8" s="213"/>
      <c r="H8" s="213"/>
      <c r="I8" s="141"/>
      <c r="J8" s="141"/>
      <c r="K8" s="141"/>
    </row>
    <row r="9" spans="1:11" x14ac:dyDescent="0.2">
      <c r="A9" s="141" t="s">
        <v>21</v>
      </c>
      <c r="B9" s="9">
        <v>0.75</v>
      </c>
      <c r="C9" s="147" t="s">
        <v>278</v>
      </c>
      <c r="D9" s="147"/>
      <c r="E9" s="147"/>
      <c r="F9" s="147"/>
      <c r="G9" s="147"/>
      <c r="H9" s="147"/>
      <c r="I9" s="141"/>
      <c r="J9" s="141"/>
      <c r="K9" s="141"/>
    </row>
    <row r="10" spans="1:11" x14ac:dyDescent="0.2">
      <c r="A10" s="141"/>
      <c r="B10" s="141"/>
      <c r="C10" s="147"/>
      <c r="D10" s="147"/>
      <c r="E10" s="147"/>
      <c r="F10" s="147"/>
      <c r="G10" s="141"/>
      <c r="H10" s="141"/>
      <c r="I10" s="141"/>
      <c r="J10" s="141"/>
      <c r="K10" s="141"/>
    </row>
    <row r="11" spans="1:11" x14ac:dyDescent="0.2">
      <c r="A11" s="141"/>
      <c r="B11" s="141"/>
      <c r="C11" s="141"/>
      <c r="D11" s="141"/>
      <c r="E11" s="141"/>
      <c r="F11" s="141"/>
      <c r="G11" s="141"/>
      <c r="H11" s="141"/>
      <c r="I11" s="141"/>
      <c r="J11" s="141"/>
      <c r="K11" s="141"/>
    </row>
    <row r="12" spans="1:11" x14ac:dyDescent="0.2">
      <c r="A12" s="141" t="s">
        <v>7</v>
      </c>
      <c r="B12" s="141">
        <f>B7-B8</f>
        <v>0.85000000000000009</v>
      </c>
      <c r="C12" s="141"/>
      <c r="D12" s="141"/>
      <c r="E12" s="141"/>
      <c r="F12" s="141"/>
      <c r="G12" s="141"/>
      <c r="H12" s="141"/>
      <c r="I12" s="141"/>
      <c r="J12" s="141"/>
      <c r="K12" s="141"/>
    </row>
    <row r="13" spans="1:11" x14ac:dyDescent="0.2">
      <c r="A13" s="141" t="s">
        <v>17</v>
      </c>
      <c r="B13" s="148">
        <f>-0.5*(B7+B8)/(2*B8*B8+B8-B7)</f>
        <v>0.42993630573248404</v>
      </c>
      <c r="C13" s="141"/>
      <c r="D13" s="141"/>
      <c r="E13" s="141"/>
      <c r="F13" s="141"/>
      <c r="G13" s="141"/>
      <c r="H13" s="141"/>
      <c r="I13" s="141"/>
      <c r="J13" s="141"/>
      <c r="K13" s="141"/>
    </row>
    <row r="14" spans="1:11" x14ac:dyDescent="0.2">
      <c r="A14" s="141" t="s">
        <v>18</v>
      </c>
      <c r="B14" s="148"/>
      <c r="C14" s="141"/>
      <c r="D14" s="141"/>
      <c r="E14" s="141"/>
      <c r="F14" s="141"/>
      <c r="G14" s="141"/>
      <c r="H14" s="141"/>
      <c r="I14" s="141"/>
      <c r="J14" s="141"/>
      <c r="K14" s="141"/>
    </row>
    <row r="15" spans="1:11" x14ac:dyDescent="0.2">
      <c r="A15" s="149" t="s">
        <v>14</v>
      </c>
      <c r="B15" s="148">
        <f>MAX(0,-1-4*MIN(B$9,B$13)*(2*B$8*B$8+B$8-B$7)/(B$7+B$8))</f>
        <v>1</v>
      </c>
      <c r="C15" s="141"/>
      <c r="D15" s="141"/>
      <c r="E15" s="141"/>
      <c r="F15" s="141"/>
      <c r="G15" s="141"/>
      <c r="H15" s="141"/>
      <c r="I15" s="141"/>
      <c r="J15" s="141"/>
      <c r="K15" s="141"/>
    </row>
    <row r="16" spans="1:11" x14ac:dyDescent="0.2">
      <c r="A16" s="149" t="s">
        <v>15</v>
      </c>
      <c r="B16" s="148">
        <v>1</v>
      </c>
      <c r="C16" s="141"/>
      <c r="D16" s="141"/>
      <c r="E16" s="141"/>
      <c r="F16" s="141"/>
      <c r="G16" s="141"/>
      <c r="H16" s="141"/>
      <c r="I16" s="141"/>
      <c r="J16" s="141"/>
      <c r="K16" s="141"/>
    </row>
    <row r="17" spans="1:14" x14ac:dyDescent="0.2">
      <c r="A17" s="149" t="s">
        <v>16</v>
      </c>
      <c r="B17" s="148">
        <f>AVERAGE(B15:B16)</f>
        <v>1</v>
      </c>
      <c r="C17" s="141"/>
      <c r="D17" s="141"/>
      <c r="E17" s="141"/>
      <c r="F17" s="141"/>
      <c r="G17" s="141"/>
      <c r="H17" s="141"/>
      <c r="I17" s="141"/>
      <c r="J17" s="141"/>
      <c r="K17" s="141"/>
    </row>
    <row r="18" spans="1:14" x14ac:dyDescent="0.2">
      <c r="A18" s="147" t="s">
        <v>42</v>
      </c>
      <c r="B18" s="150">
        <f>AVERAGE(1,B$7/B$8)</f>
        <v>0.61363636363636365</v>
      </c>
      <c r="C18" s="141"/>
      <c r="D18" s="141"/>
      <c r="E18" s="141"/>
      <c r="F18" s="141"/>
      <c r="G18" s="141"/>
      <c r="H18" s="141"/>
      <c r="I18" s="141"/>
      <c r="J18" s="141"/>
      <c r="K18" s="141"/>
    </row>
    <row r="19" spans="1:14" x14ac:dyDescent="0.2">
      <c r="C19" s="211" t="str">
        <f>IF($M$25&gt;0,"Warning: This simulator shows only the effects of reducing rebate rates below "&amp;TEXT($B$13,"0%")&amp;"; the effects of reducing from "&amp;TEXT($B$9,"0%")&amp;" to "&amp;TEXT($B$13,"0%")&amp;" are (to be conservative) assumed 0.  As a result, "&amp;TEXT($M$25,"0")&amp;" scenario"&amp;IF($M$25=1," ("&amp;LEFT($M$24,LEN($M$24)-2)&amp;")"&amp;" shows","s ("&amp;LEFT($M$24,LEN($M$24)-2)&amp;")"&amp;" show")&amp;" no regulatory impact.","")</f>
        <v/>
      </c>
      <c r="D19" s="211"/>
      <c r="E19" s="211"/>
      <c r="F19" s="211"/>
      <c r="G19" s="211"/>
      <c r="H19" s="211"/>
      <c r="I19" s="211"/>
      <c r="J19" s="211"/>
      <c r="K19" s="211"/>
      <c r="L19" s="211"/>
    </row>
    <row r="20" spans="1:14" x14ac:dyDescent="0.2">
      <c r="C20" s="211"/>
      <c r="D20" s="211"/>
      <c r="E20" s="211"/>
      <c r="F20" s="211"/>
      <c r="G20" s="211"/>
      <c r="H20" s="211"/>
      <c r="I20" s="211"/>
      <c r="J20" s="211"/>
      <c r="K20" s="211"/>
      <c r="L20" s="211"/>
    </row>
    <row r="21" spans="1:14" x14ac:dyDescent="0.2">
      <c r="C21" s="207" t="s">
        <v>8</v>
      </c>
      <c r="D21" s="207"/>
      <c r="E21" s="207"/>
      <c r="F21" s="207"/>
      <c r="H21" s="207" t="s">
        <v>32</v>
      </c>
      <c r="I21" s="207"/>
      <c r="J21" s="207"/>
      <c r="K21" s="207"/>
    </row>
    <row r="22" spans="1:14" x14ac:dyDescent="0.2">
      <c r="B22" s="152" t="s">
        <v>13</v>
      </c>
      <c r="C22" s="6" t="s">
        <v>9</v>
      </c>
      <c r="D22" s="16" t="s">
        <v>10</v>
      </c>
      <c r="E22" s="16" t="s">
        <v>11</v>
      </c>
      <c r="F22" s="16" t="s">
        <v>12</v>
      </c>
      <c r="H22" s="6" t="str">
        <f>C22</f>
        <v>Baseline</v>
      </c>
      <c r="I22" s="6" t="str">
        <f>D22</f>
        <v>OACT</v>
      </c>
      <c r="J22" s="6" t="str">
        <f>E22</f>
        <v>OACTX2</v>
      </c>
      <c r="K22" s="6" t="str">
        <f>F22</f>
        <v>Retain Zero</v>
      </c>
    </row>
    <row r="23" spans="1:14" x14ac:dyDescent="0.2">
      <c r="B23" s="18" t="str">
        <f>IF($M$25=0,"","Rebate rate (brands)")</f>
        <v/>
      </c>
      <c r="C23" s="2"/>
      <c r="D23" s="2"/>
      <c r="E23" s="2"/>
      <c r="F23" s="2"/>
      <c r="H23" s="2"/>
      <c r="I23" s="2"/>
      <c r="J23" s="2"/>
      <c r="K23" s="2"/>
      <c r="M23" t="s">
        <v>36</v>
      </c>
    </row>
    <row r="24" spans="1:14" x14ac:dyDescent="0.2">
      <c r="B24" s="14" t="s">
        <v>276</v>
      </c>
      <c r="C24" s="7">
        <f>$B$9</f>
        <v>0.75</v>
      </c>
      <c r="D24" s="13">
        <f>-2*(D$28-$B$8+D$28*$B$8)*($B$8+$B$7)*D$37/($B$8*D$36)</f>
        <v>0.30575494835107031</v>
      </c>
      <c r="E24" s="13">
        <f>-2*(E$28-$B$8+E$28*$B$8)*($B$8+$B$7)*E$37/($B$8*E$36)</f>
        <v>0.19035317621045456</v>
      </c>
      <c r="F24" s="13">
        <f>BackgroundInfo1!$C$43</f>
        <v>0.08</v>
      </c>
      <c r="H24" s="2"/>
      <c r="I24" s="2"/>
      <c r="J24" s="2"/>
      <c r="K24" s="2"/>
      <c r="M24" t="str" cm="1">
        <f t="array" ref="M24">IF(M25=0,"",IF(M44,"",_xlfn.CONCAT(TRANSPOSE(_xlfn._xlws.FILTER(D22:F22,D24:F24&gt;$B$13)&amp;", "))))</f>
        <v/>
      </c>
      <c r="N24" t="s">
        <v>37</v>
      </c>
    </row>
    <row r="25" spans="1:14" x14ac:dyDescent="0.2">
      <c r="B25" s="14" t="s">
        <v>277</v>
      </c>
      <c r="C25" s="7">
        <f>MIN(C24,$B$13)</f>
        <v>0.42993630573248404</v>
      </c>
      <c r="D25" s="7">
        <f>MIN(D24,$B$13)</f>
        <v>0.30575494835107031</v>
      </c>
      <c r="E25" s="7">
        <f>MIN(E24,$B$13)</f>
        <v>0.19035317621045456</v>
      </c>
      <c r="F25" s="7">
        <f>MIN(F24,$B$13)</f>
        <v>0.08</v>
      </c>
      <c r="G25" s="7"/>
      <c r="H25" s="7"/>
      <c r="I25" s="7"/>
      <c r="J25" s="7"/>
      <c r="K25" s="7"/>
      <c r="M25">
        <f>COUNTIF(D24:F24,"&gt;"&amp;$B$13)</f>
        <v>0</v>
      </c>
      <c r="N25" t="s">
        <v>38</v>
      </c>
    </row>
    <row r="26" spans="1:14" x14ac:dyDescent="0.2">
      <c r="B26" s="2" t="s">
        <v>20</v>
      </c>
      <c r="C26" s="9">
        <f>B17</f>
        <v>1</v>
      </c>
      <c r="D26" s="7">
        <f>C26</f>
        <v>1</v>
      </c>
      <c r="E26" s="7">
        <f>D26</f>
        <v>1</v>
      </c>
      <c r="F26" s="7">
        <f>E26</f>
        <v>1</v>
      </c>
      <c r="M26">
        <f>IF(M25&gt;0,0,-9999999999)</f>
        <v>-9999999999</v>
      </c>
      <c r="N26" t="s">
        <v>39</v>
      </c>
    </row>
    <row r="27" spans="1:14" hidden="1" x14ac:dyDescent="0.2">
      <c r="B27" s="10" t="s">
        <v>280</v>
      </c>
      <c r="C27" s="7"/>
      <c r="D27" s="7"/>
      <c r="E27" s="7"/>
      <c r="F27" s="7"/>
    </row>
    <row r="28" spans="1:14" hidden="1" x14ac:dyDescent="0.2">
      <c r="B28" s="10" t="s">
        <v>281</v>
      </c>
      <c r="C28" s="7"/>
      <c r="D28" s="169">
        <f>$C$49*(0.15*$C$24/(1-$C$24)+1)</f>
        <v>5.8988636363636315</v>
      </c>
      <c r="E28" s="169">
        <f>$C$49*(0.3*$C$24/(1-$C$24)+1)</f>
        <v>7.7295454545454474</v>
      </c>
      <c r="F28" s="7"/>
    </row>
    <row r="29" spans="1:14" hidden="1" x14ac:dyDescent="0.2">
      <c r="B29" s="10" t="s">
        <v>282</v>
      </c>
      <c r="C29" s="7"/>
      <c r="D29" s="169">
        <f>-32*(D$28-1)*(3*D$26-1)*$B$8^5</f>
        <v>504.93880799999965</v>
      </c>
      <c r="E29" s="169">
        <f>-32*(E$28-1)*(3*E$26-1)*$B$8^5</f>
        <v>693.63201599999945</v>
      </c>
      <c r="F29" s="7"/>
    </row>
    <row r="30" spans="1:14" hidden="1" x14ac:dyDescent="0.2">
      <c r="B30" s="10" t="s">
        <v>283</v>
      </c>
      <c r="C30" s="7"/>
      <c r="D30" s="169">
        <f>-6*(8*D$28+1-D$26)*(1-D$26)*$B$8*$B$7^3</f>
        <v>0</v>
      </c>
      <c r="E30" s="169">
        <f>-6*(8*E$28+1-E$26)*(1-E$26)*$B$8*$B$7^3</f>
        <v>0</v>
      </c>
      <c r="F30" s="7"/>
    </row>
    <row r="31" spans="1:14" hidden="1" x14ac:dyDescent="0.2">
      <c r="B31" s="10" t="s">
        <v>284</v>
      </c>
      <c r="C31" s="7"/>
      <c r="D31" s="169">
        <f>(3*(1-D$26)*$B$7*$B$7)^2</f>
        <v>0</v>
      </c>
      <c r="E31" s="169">
        <f>(3*(1-E$26)*$B$7*$B$7)^2</f>
        <v>0</v>
      </c>
      <c r="F31" s="7"/>
    </row>
    <row r="32" spans="1:14" hidden="1" x14ac:dyDescent="0.2">
      <c r="B32" s="10" t="s">
        <v>285</v>
      </c>
      <c r="C32" s="7"/>
      <c r="D32" s="169">
        <f>(2*$B$8)^4*(1+D$26*D$26-2*$B$7*(1-2*$B$7)+(2*D$28*$B$7)^2+2*D$26*(1+$B$7)-2*D$28*(D$26*(3+$B$7)+4*$B$7*$B$7-$B$7-1))</f>
        <v>-318.48832743749989</v>
      </c>
      <c r="E32" s="169">
        <f>(2*$B$8)^4*(1+E$26*E$26-2*$B$7*(1-2*$B$7)+(2*E$28*$B$7)^2+2*E$26*(1+$B$7)-2*E$28*(E$26*(3+$B$7)+4*$B$7*$B$7-$B$7-1))</f>
        <v>-365.35704975000004</v>
      </c>
      <c r="F32" s="7"/>
    </row>
    <row r="33" spans="2:14" hidden="1" x14ac:dyDescent="0.2">
      <c r="B33" s="10" t="s">
        <v>286</v>
      </c>
      <c r="C33" s="7"/>
      <c r="D33" s="169">
        <f>($B$7*$B$8)^2*(64*D$28*D$28+(1-D$26)*(25+23*D$26+48*$B$7)+16*D$28*(D$26*(3*$B$7+7)-3*$B$7-11))</f>
        <v>139.86500624999977</v>
      </c>
      <c r="E33" s="169">
        <f>($B$7*$B$8)^2*(64*E$28*E$28+(1-E$26)*(25+23*E$26+48*$B$7)+16*E$28*(E$26*(3*$B$7+7)-3*$B$7-11))</f>
        <v>251.75902499999955</v>
      </c>
      <c r="F33" s="7"/>
    </row>
    <row r="34" spans="2:14" hidden="1" x14ac:dyDescent="0.2">
      <c r="B34" s="10" t="s">
        <v>287</v>
      </c>
      <c r="C34" s="7"/>
      <c r="D34" s="169">
        <f>8*($B$8^3)*$B$7*(-1+D$26^2+$B$7*(22+(4*D$28)^2-14*D$26)+2*D$28*(D$26*(7*$B$7-2)-19*$B$7+2))</f>
        <v>-281.62146374999958</v>
      </c>
      <c r="E34" s="169">
        <f>8*($B$8^3)*$B$7*(-1+E$26^2+$B$7*(22+(4*E$28)^2-14*E$26)+2*E$28*(E$26*(7*$B$7-2)-19*$B$7+2))</f>
        <v>-518.04175499999917</v>
      </c>
      <c r="F34" s="7"/>
    </row>
    <row r="35" spans="2:14" hidden="1" x14ac:dyDescent="0.2">
      <c r="B35" s="10" t="s">
        <v>288</v>
      </c>
      <c r="C35" s="7"/>
      <c r="D35" s="169">
        <f>16*($B$8^3)*(D$28-1)+(1+8*D$28-D$26)*$B$8*$B$7-3*(1-D$26)*$B$7*$B$7-(2*$B$8)^2*(1+D$26+2*$B$7-2*D$28*(2+$B$7))-SQRT(SUM(D29:D34))</f>
        <v>-5.3673088581690953</v>
      </c>
      <c r="E35" s="169">
        <f>16*($B$8^3)*(E$28-1)+(1+8*E$28-E$26)*$B$8*$B$7-3*(1-E$26)*$B$7*$B$7-(2*$B$8)^2*(1+E$26+2*$B$7-2*E$28*(2+$B$7))-SQRT(SUM(E29:E34))</f>
        <v>-10.502414859959295</v>
      </c>
      <c r="F35" s="7"/>
    </row>
    <row r="36" spans="2:14" hidden="1" x14ac:dyDescent="0.2">
      <c r="B36" s="10" t="s">
        <v>289</v>
      </c>
      <c r="C36" s="7"/>
      <c r="D36" s="169">
        <f>D35^2-8*D35*(D$28-$B$8+D$28*$B$8)*($B$8+4*$B$8*$B$8-$B$7+2*$B$8*$B$7)+128*$B$8*(D$28-$B$8+D$28*$B$8)*(D$28-$B$8+D$28*$B$8)*($B$8*$B$8*(2*$B$7+1)+2*($B$8^3)-$B$7*$B$7)</f>
        <v>205.9049848217241</v>
      </c>
      <c r="E36" s="169">
        <f>E35^2-8*E35*(E$28-$B$8+E$28*$B$8)*($B$8+4*$B$8*$B$8-$B$7+2*$B$8*$B$7)+128*$B$8*(E$28-$B$8+E$28*$B$8)*(E$28-$B$8+E$28*$B$8)*($B$8*$B$8*(2*$B$7+1)+2*($B$8^3)-$B$7*$B$7)</f>
        <v>266.97067982343202</v>
      </c>
      <c r="F36" s="7"/>
    </row>
    <row r="37" spans="2:14" hidden="1" x14ac:dyDescent="0.2">
      <c r="B37" s="10" t="s">
        <v>290</v>
      </c>
      <c r="C37" s="7"/>
      <c r="D37" s="169">
        <f>(1+D$26)*(D$28-$B$8+D$28*$B$8)*($B$8+$B$7)*(4*$B$8)^2-D$35*(3*$B$7*(1-D$26)+4*D$26*$B$8)</f>
        <v>-50.280818975944058</v>
      </c>
      <c r="E37" s="169">
        <f>(1+E$26)*(E$28-$B$8+E$28*$B$8)*($B$8+$B$7)*(4*$B$8)^2-E$35*(3*$B$7*(1-E$26)+4*E$26*$B$8)</f>
        <v>-63.305945383820955</v>
      </c>
      <c r="F37" s="7"/>
    </row>
    <row r="38" spans="2:14" hidden="1" x14ac:dyDescent="0.2">
      <c r="B38" s="10" t="s">
        <v>31</v>
      </c>
      <c r="C38" s="11"/>
      <c r="D38" s="11"/>
      <c r="E38" s="11"/>
    </row>
    <row r="39" spans="2:14" hidden="1" x14ac:dyDescent="0.2">
      <c r="B39" s="10" t="s">
        <v>23</v>
      </c>
      <c r="C39" s="11">
        <f>($B$7+$B$8)*(4*C$26*$B$8+3*$B$7-3*C$26*$B$7)</f>
        <v>5.9400000000000013</v>
      </c>
      <c r="D39" s="11">
        <f t="shared" ref="D39:F43" si="0">C39</f>
        <v>5.9400000000000013</v>
      </c>
      <c r="E39" s="11">
        <f t="shared" si="0"/>
        <v>5.9400000000000013</v>
      </c>
      <c r="F39" s="11">
        <f t="shared" si="0"/>
        <v>5.9400000000000013</v>
      </c>
    </row>
    <row r="40" spans="2:14" hidden="1" x14ac:dyDescent="0.2">
      <c r="B40" s="10" t="s">
        <v>22</v>
      </c>
      <c r="C40" s="11">
        <f>8*$B$8*($B$7+$B$8)*(4*$B$8*$B$8*(2*$B$7-$B$8+(1+3*$B$8-2*$B$7)*C$26)+3*$B$7*($B$8-$B$7+C$26*$B$7+2*$B$7*$B$8)-C$26*$B$7*$B$8*(7+6*$B$7))</f>
        <v>-82.067040000000048</v>
      </c>
      <c r="D40" s="11">
        <f t="shared" si="0"/>
        <v>-82.067040000000048</v>
      </c>
      <c r="E40" s="11">
        <f t="shared" si="0"/>
        <v>-82.067040000000048</v>
      </c>
      <c r="F40" s="11">
        <f t="shared" si="0"/>
        <v>-82.067040000000048</v>
      </c>
    </row>
    <row r="41" spans="2:14" hidden="1" x14ac:dyDescent="0.2">
      <c r="B41" s="10" t="s">
        <v>24</v>
      </c>
      <c r="C41" s="11">
        <f>(4*$B$8*($B$7+(2*$B$7-1)*$B$8))^2</f>
        <v>37.945600000000013</v>
      </c>
      <c r="D41" s="11">
        <f t="shared" si="0"/>
        <v>37.945600000000013</v>
      </c>
      <c r="E41" s="11">
        <f t="shared" si="0"/>
        <v>37.945600000000013</v>
      </c>
      <c r="F41" s="11">
        <f t="shared" si="0"/>
        <v>37.945600000000013</v>
      </c>
    </row>
    <row r="42" spans="2:14" hidden="1" x14ac:dyDescent="0.2">
      <c r="B42" s="10" t="s">
        <v>25</v>
      </c>
      <c r="C42" s="11">
        <f>4*$B$8*((4*$B$8+1)*$B$8+(2*$B$8-1)*$B$7)</f>
        <v>-19.976000000000006</v>
      </c>
      <c r="D42" s="11">
        <f t="shared" si="0"/>
        <v>-19.976000000000006</v>
      </c>
      <c r="E42" s="11">
        <f t="shared" si="0"/>
        <v>-19.976000000000006</v>
      </c>
      <c r="F42" s="11">
        <f t="shared" si="0"/>
        <v>-19.976000000000006</v>
      </c>
    </row>
    <row r="43" spans="2:14" hidden="1" x14ac:dyDescent="0.2">
      <c r="B43" s="10" t="s">
        <v>28</v>
      </c>
      <c r="C43" s="11">
        <f>2*($B$8+1)*$B$7*$B$8/(($B$7+$B$8)*($B$7+$B$8))</f>
        <v>-3.0178326474622798E-2</v>
      </c>
      <c r="D43" s="11">
        <f t="shared" si="0"/>
        <v>-3.0178326474622798E-2</v>
      </c>
      <c r="E43" s="11">
        <f t="shared" si="0"/>
        <v>-3.0178326474622798E-2</v>
      </c>
      <c r="F43" s="11">
        <f t="shared" si="0"/>
        <v>-3.0178326474622798E-2</v>
      </c>
    </row>
    <row r="44" spans="2:14" x14ac:dyDescent="0.2">
      <c r="B44" s="2" t="s">
        <v>26</v>
      </c>
      <c r="C44">
        <f>(C$39+C$25*C$42+SQRT(C$39*C$39+C$40*C$25+C$41*C$25*C$25))*$B$7*($B$8+1)/(8*C$25*$B$8*$B$8*($B$7+$B$8)*($B$7+$B$8))</f>
        <v>-2.9274751063219748E-18</v>
      </c>
      <c r="D44">
        <f>(D$39+D$25*D$42+SQRT(D$39*D$39+D$40*D$25+D$41*D$25*D$25))*$B$7*($B$8+1)/(8*D$25*$B$8*$B$8*($B$7+$B$8)*($B$7+$B$8))</f>
        <v>1.6401344601142346E-2</v>
      </c>
      <c r="E44">
        <f>(E$39+E$25*E$42+SQRT(E$39*E$39+E$40*E$25+E$41*E$25*E$25))*$B$7*($B$8+1)/(8*E$25*$B$8*$B$8*($B$7+$B$8)*($B$7+$B$8))</f>
        <v>5.0057695434926504E-2</v>
      </c>
      <c r="F44">
        <f>(F$39+F$25*F$42+SQRT(F$39*F$39+F$40*F$25+F$41*F$25*F$25))*$B$7*($B$8+1)/(8*F$25*$B$8*$B$8*($B$7+$B$8)*($B$7+$B$8))</f>
        <v>0.1722377883305978</v>
      </c>
      <c r="M44" t="b">
        <f ca="1">VALUE(INFO("RELEASE"))&lt;16.2</f>
        <v>0</v>
      </c>
      <c r="N44" t="s">
        <v>310</v>
      </c>
    </row>
    <row r="45" spans="2:14" x14ac:dyDescent="0.2">
      <c r="B45" s="20" t="s">
        <v>41</v>
      </c>
      <c r="C45" s="21"/>
      <c r="D45" s="21"/>
      <c r="E45" s="21"/>
      <c r="F45" s="21"/>
      <c r="G45" s="21"/>
      <c r="H45" s="21"/>
      <c r="I45" s="21"/>
      <c r="J45" s="21"/>
      <c r="K45" s="21"/>
    </row>
    <row r="46" spans="2:14" x14ac:dyDescent="0.2">
      <c r="B46" s="22" t="s">
        <v>124</v>
      </c>
      <c r="C46" s="23">
        <f>(C$44*$B$8/($B$7+$B$8)-C$43)/(C$44-C$43)</f>
        <v>1</v>
      </c>
      <c r="D46" s="23">
        <f>(D44*$B$8/($B$7+$B$8)-D$43)/(D44-D$43)</f>
        <v>0.93479374226777545</v>
      </c>
      <c r="E46" s="23">
        <f>(E44*$B$8/($B$7+$B$8)-E$43)/(E44-E$43)</f>
        <v>0.88446656029992943</v>
      </c>
      <c r="F46" s="23">
        <f>(F44*$B$8/($B$7+$B$8)-F$43)/(F44-F$43)</f>
        <v>0.8424241728057027</v>
      </c>
      <c r="G46" s="21"/>
      <c r="H46" s="24">
        <f t="shared" ref="H46:K49" si="1">C46/$C46-1</f>
        <v>0</v>
      </c>
      <c r="I46" s="25">
        <f t="shared" si="1"/>
        <v>-6.5206257732224548E-2</v>
      </c>
      <c r="J46" s="25">
        <f t="shared" si="1"/>
        <v>-0.11553343970007057</v>
      </c>
      <c r="K46" s="25">
        <f t="shared" si="1"/>
        <v>-0.1575758271942973</v>
      </c>
    </row>
    <row r="47" spans="2:14" x14ac:dyDescent="0.2">
      <c r="B47" s="22" t="s">
        <v>29</v>
      </c>
      <c r="C47" s="23">
        <f>((C$44-C$43*($B$8+1)/$B$8)/(C$44-C$43))*$B$8/($B$8+1)</f>
        <v>0.99999999999999889</v>
      </c>
      <c r="D47" s="23">
        <f>((D$44-D$43*($B$8+1)/$B$8)/(D$44-D$43))*$B$8/($B$8+1)</f>
        <v>4.5211379175401163</v>
      </c>
      <c r="E47" s="23">
        <f>((E$44-E$43*($B$8+1)/$B$8)/(E$44-E$43))*$B$8/($B$8+1)</f>
        <v>7.2388057438038116</v>
      </c>
      <c r="F47" s="23">
        <f>((F$44-F$43*($B$8+1)/$B$8)/(F$44-F$43))*$B$8/($B$8+1)</f>
        <v>9.509094668492045</v>
      </c>
      <c r="G47" s="21"/>
      <c r="H47" s="24">
        <f t="shared" si="1"/>
        <v>0</v>
      </c>
      <c r="I47" s="25">
        <f t="shared" si="1"/>
        <v>3.5211379175401216</v>
      </c>
      <c r="J47" s="25">
        <f t="shared" si="1"/>
        <v>6.2388057438038196</v>
      </c>
      <c r="K47" s="25">
        <f t="shared" si="1"/>
        <v>8.5090946684920556</v>
      </c>
    </row>
    <row r="48" spans="2:14" x14ac:dyDescent="0.2">
      <c r="B48" s="22" t="s">
        <v>30</v>
      </c>
      <c r="C48" s="23">
        <f>((1-C$25)/(1-C$24))*(C$44*$B$8/($B$8+1)-(2*$B$8*$B$8+$B$8-$B$7)*$B$7/(($B$7+$B$8)*($B$7+$B$8)))/(C$44-C$43)</f>
        <v>16.272727272727259</v>
      </c>
      <c r="D48" s="23">
        <f>((1-D$25)/(1-D$24))*(D$44*$B$8/($B$8+1)-(2*$B$8*$B$8+$B$8-$B$7)*$B$7/(($B$7+$B$8)*($B$7+$B$8)))/(D$44-D$43)</f>
        <v>8.4968032863223115</v>
      </c>
      <c r="E48" s="23">
        <f>((1-E$25)/(1-E$24))*(E$44*$B$8/($B$8+1)-(2*$B$8*$B$8+$B$8-$B$7)*$B$7/(($B$7+$B$8)*($B$7+$B$8)))/(E$44-E$43)</f>
        <v>9.5468113101060119</v>
      </c>
      <c r="F48" s="23">
        <f>(F$44*$B$8/($B$8+1)-(2*$B$8*$B$8+$B$8-$B$7)*$B$7/(($B$7+$B$8)*($B$7+$B$8)))/(F$44-F$43)</f>
        <v>10.423968394644648</v>
      </c>
      <c r="G48" s="21"/>
      <c r="H48" s="24">
        <f t="shared" si="1"/>
        <v>0</v>
      </c>
      <c r="I48" s="25">
        <f t="shared" si="1"/>
        <v>-0.47785007737684071</v>
      </c>
      <c r="J48" s="25">
        <f t="shared" si="1"/>
        <v>-0.41332444463035634</v>
      </c>
      <c r="K48" s="25">
        <f t="shared" si="1"/>
        <v>-0.35942093664194852</v>
      </c>
    </row>
    <row r="49" spans="2:11" x14ac:dyDescent="0.2">
      <c r="B49" s="22" t="s">
        <v>33</v>
      </c>
      <c r="C49" s="23">
        <f>(1-C$24)*C$48</f>
        <v>4.0681818181818148</v>
      </c>
      <c r="D49" s="23">
        <f>(1-D$24)*D$48</f>
        <v>5.8988636363636289</v>
      </c>
      <c r="E49" s="23">
        <f>(1-E$24)*E$48</f>
        <v>7.7295454545454421</v>
      </c>
      <c r="F49" s="23">
        <f>(1-F$25)*F$48</f>
        <v>9.5900509230730773</v>
      </c>
      <c r="G49" s="21"/>
      <c r="H49" s="24">
        <f t="shared" si="1"/>
        <v>0</v>
      </c>
      <c r="I49" s="25">
        <f t="shared" si="1"/>
        <v>0.44999999999999929</v>
      </c>
      <c r="J49" s="25">
        <f t="shared" si="1"/>
        <v>0.89999999999999858</v>
      </c>
      <c r="K49" s="25">
        <f t="shared" si="1"/>
        <v>1.3573309531576299</v>
      </c>
    </row>
    <row r="50" spans="2:11" x14ac:dyDescent="0.2">
      <c r="B50" s="18" t="s">
        <v>46</v>
      </c>
      <c r="C50" s="12"/>
      <c r="D50" s="12"/>
      <c r="E50" s="12"/>
      <c r="F50" s="12"/>
      <c r="H50" s="3"/>
      <c r="I50" s="8"/>
      <c r="J50" s="8"/>
      <c r="K50" s="8"/>
    </row>
    <row r="51" spans="2:11" x14ac:dyDescent="0.2">
      <c r="B51" s="2" t="s">
        <v>27</v>
      </c>
      <c r="C51" s="12">
        <f>2*C$46/(1-BackgroundInfo1!$B$6)-2*C$46</f>
        <v>0.3393739650605534</v>
      </c>
      <c r="D51" s="12">
        <f>$C51+2*(D$46-$C$46)*($B$18-1)</f>
        <v>0.38976061876272688</v>
      </c>
      <c r="E51" s="12">
        <f>$C51+2*(E$46-$C$46)*($B$18-1)</f>
        <v>0.42864980482878973</v>
      </c>
      <c r="F51" s="12">
        <f>$C51+2*(F$46-$C$46)*($B$18-1)</f>
        <v>0.46113710425614673</v>
      </c>
      <c r="H51" s="3">
        <f>H$46*(1-BackgroundInfo1!$B$6)*InsulinAct!$B$18</f>
        <v>0</v>
      </c>
      <c r="I51" s="8">
        <f t="shared" ref="H51:K52" si="2">D51/$C51-1</f>
        <v>0.14846941394924973</v>
      </c>
      <c r="J51" s="8">
        <f t="shared" si="2"/>
        <v>0.2630603669091327</v>
      </c>
      <c r="K51" s="8">
        <f t="shared" si="2"/>
        <v>0.35878750797477221</v>
      </c>
    </row>
    <row r="52" spans="2:11" x14ac:dyDescent="0.2">
      <c r="B52" s="2" t="s">
        <v>47</v>
      </c>
      <c r="C52" s="12">
        <v>1</v>
      </c>
      <c r="D52" s="12">
        <f>C52</f>
        <v>1</v>
      </c>
      <c r="E52" s="12">
        <f>D52</f>
        <v>1</v>
      </c>
      <c r="F52" s="12">
        <f>E52</f>
        <v>1</v>
      </c>
      <c r="H52" s="3">
        <f t="shared" si="2"/>
        <v>0</v>
      </c>
      <c r="I52" s="3">
        <f t="shared" si="2"/>
        <v>0</v>
      </c>
      <c r="J52" s="3">
        <f t="shared" si="2"/>
        <v>0</v>
      </c>
      <c r="K52" s="3">
        <f t="shared" si="2"/>
        <v>0</v>
      </c>
    </row>
    <row r="53" spans="2:11" x14ac:dyDescent="0.2">
      <c r="B53" s="26" t="s">
        <v>48</v>
      </c>
      <c r="C53" s="27">
        <f>C$51+2*C$46</f>
        <v>2.3393739650605534</v>
      </c>
      <c r="D53" s="27">
        <f>D$51+2*D$46</f>
        <v>2.2593481032982776</v>
      </c>
      <c r="E53" s="27">
        <f>E$51+2*E$46</f>
        <v>2.1975829254286485</v>
      </c>
      <c r="F53" s="27">
        <f>F$51+2*F$46</f>
        <v>2.1459854498675521</v>
      </c>
      <c r="G53" s="28"/>
      <c r="H53" s="29">
        <f>H$46*(1-BackgroundInfo1!$B$5)*InsulinAct!$B$18</f>
        <v>0</v>
      </c>
      <c r="I53" s="30">
        <f>D53/$C53-1</f>
        <v>-3.4208238168626615E-2</v>
      </c>
      <c r="J53" s="30">
        <f>E53/$C53-1</f>
        <v>-6.0610676937338126E-2</v>
      </c>
      <c r="K53" s="30">
        <f>F53/$C53-1</f>
        <v>-8.2666780977018961E-2</v>
      </c>
    </row>
    <row r="54" spans="2:11" x14ac:dyDescent="0.2">
      <c r="B54" s="18" t="s">
        <v>123</v>
      </c>
    </row>
    <row r="55" spans="2:11" x14ac:dyDescent="0.2">
      <c r="B55" s="2" t="s">
        <v>41</v>
      </c>
      <c r="C55" s="12">
        <f>2*C$46*C$49</f>
        <v>8.1363636363636296</v>
      </c>
      <c r="D55" s="12">
        <f>2*D$46*D$49</f>
        <v>11.028441627527309</v>
      </c>
      <c r="E55" s="12">
        <f>2*E$46*E$49</f>
        <v>13.673048961727524</v>
      </c>
      <c r="F55" s="12">
        <f>2*F$46*F$49</f>
        <v>16.157781432068806</v>
      </c>
      <c r="H55" s="3">
        <f t="shared" ref="H55:K56" si="3">C55/$C55-1</f>
        <v>0</v>
      </c>
      <c r="I55" s="8">
        <f t="shared" si="3"/>
        <v>0.35545092628827368</v>
      </c>
      <c r="J55" s="8">
        <f t="shared" si="3"/>
        <v>0.68048646456986472</v>
      </c>
      <c r="K55" s="8">
        <f t="shared" si="3"/>
        <v>0.98587257824309504</v>
      </c>
    </row>
    <row r="56" spans="2:11" x14ac:dyDescent="0.2">
      <c r="B56" s="2" t="s">
        <v>46</v>
      </c>
      <c r="C56" s="12">
        <f>C51*C52</f>
        <v>0.3393739650605534</v>
      </c>
      <c r="D56" s="12">
        <f>D51*D52</f>
        <v>0.38976061876272688</v>
      </c>
      <c r="E56" s="12">
        <f>E51*E52</f>
        <v>0.42864980482878973</v>
      </c>
      <c r="F56" s="12">
        <f>F51*F52</f>
        <v>0.46113710425614673</v>
      </c>
      <c r="H56" s="3">
        <f t="shared" si="3"/>
        <v>0</v>
      </c>
      <c r="I56" s="8">
        <f t="shared" si="3"/>
        <v>0.14846941394924973</v>
      </c>
      <c r="J56" s="8">
        <f t="shared" si="3"/>
        <v>0.2630603669091327</v>
      </c>
      <c r="K56" s="8">
        <f t="shared" si="3"/>
        <v>0.35878750797477221</v>
      </c>
    </row>
    <row r="57" spans="2:11" x14ac:dyDescent="0.2">
      <c r="B57" s="2" t="s">
        <v>34</v>
      </c>
      <c r="C57" s="12">
        <f>C$44*(C$48-C$47)^2</f>
        <v>-6.8285171405645691E-16</v>
      </c>
      <c r="D57" s="12">
        <f>D$44*(D$48-D$47)^2</f>
        <v>0.259238260693891</v>
      </c>
      <c r="E57" s="12">
        <f>E$44*(E$48-E$47)^2</f>
        <v>0.26665182192180259</v>
      </c>
      <c r="F57" s="12">
        <f>F$44*(F$48-F$47)^2</f>
        <v>0.14416198417682546</v>
      </c>
      <c r="H57" s="3" t="str">
        <f>IF($C57&lt;0.000001,"",C57/$C57-1)</f>
        <v/>
      </c>
      <c r="I57" s="8" t="str">
        <f>IF($C57&lt;0.000001,"",D57/$C57-1)</f>
        <v/>
      </c>
      <c r="J57" s="8" t="str">
        <f>IF($C57&lt;0.000001,"",E57/$C57-1)</f>
        <v/>
      </c>
      <c r="K57" s="8" t="str">
        <f>IF($C57&lt;0.000001,"",F57/$C57-1)</f>
        <v/>
      </c>
    </row>
    <row r="58" spans="2:11" x14ac:dyDescent="0.2">
      <c r="B58" s="2" t="s">
        <v>35</v>
      </c>
      <c r="C58" s="12">
        <f>SUM(C55:C57)</f>
        <v>8.4757376014241821</v>
      </c>
      <c r="D58" s="12">
        <f>SUM(D55:D57)</f>
        <v>11.677440506983928</v>
      </c>
      <c r="E58" s="12">
        <f>SUM(E55:E57)</f>
        <v>14.368350588478117</v>
      </c>
      <c r="F58" s="12">
        <f>SUM(F55:F57)</f>
        <v>16.763080520501777</v>
      </c>
      <c r="H58" s="3">
        <f t="shared" ref="H58:K63" si="4">C58/$C58-1</f>
        <v>0</v>
      </c>
      <c r="I58" s="8">
        <f t="shared" si="4"/>
        <v>0.37774917725411439</v>
      </c>
      <c r="J58" s="8">
        <f t="shared" si="4"/>
        <v>0.6952330598417531</v>
      </c>
      <c r="K58" s="8">
        <f t="shared" si="4"/>
        <v>0.97777247347594498</v>
      </c>
    </row>
    <row r="59" spans="2:11" x14ac:dyDescent="0.2">
      <c r="B59" s="52" t="s">
        <v>122</v>
      </c>
      <c r="C59" s="12"/>
      <c r="D59" s="12"/>
      <c r="E59" s="12"/>
      <c r="F59" s="12"/>
      <c r="H59" s="3"/>
      <c r="I59" s="8"/>
      <c r="J59" s="8"/>
      <c r="K59" s="8"/>
    </row>
    <row r="60" spans="2:11" x14ac:dyDescent="0.2">
      <c r="B60" s="53" t="s">
        <v>41</v>
      </c>
      <c r="C60" s="12">
        <f>C$46*2*C$48*BackgroundInfo1!$C$43</f>
        <v>2.6036363636363613</v>
      </c>
      <c r="D60" s="12">
        <f>D$46*2*D$48*MAX(0,BackgroundInfo1!$C$43-D$25)</f>
        <v>0</v>
      </c>
      <c r="E60" s="12">
        <f>E$46*2*E$48*MAX(0,BackgroundInfo1!$C$43-E$25)</f>
        <v>0</v>
      </c>
      <c r="F60" s="12">
        <f>F$46*2*F$48*MAX(0,BackgroundInfo1!$C$43-F$25)</f>
        <v>0</v>
      </c>
      <c r="H60" s="3">
        <f t="shared" ref="H60:K61" si="5">C60/$C60-1</f>
        <v>0</v>
      </c>
      <c r="I60" s="3">
        <f t="shared" si="5"/>
        <v>-1</v>
      </c>
      <c r="J60" s="3">
        <f t="shared" si="5"/>
        <v>-1</v>
      </c>
      <c r="K60" s="3">
        <f t="shared" si="5"/>
        <v>-1</v>
      </c>
    </row>
    <row r="61" spans="2:11" x14ac:dyDescent="0.2">
      <c r="B61" s="2" t="s">
        <v>46</v>
      </c>
      <c r="C61" s="12">
        <f>C$56*BackgroundInfo1!$C$43</f>
        <v>2.7149917204844273E-2</v>
      </c>
      <c r="D61" s="12">
        <f>D$56*BackgroundInfo1!$C$43</f>
        <v>3.1180849501018151E-2</v>
      </c>
      <c r="E61" s="12">
        <f>E$56*BackgroundInfo1!$C$43</f>
        <v>3.4291984386303181E-2</v>
      </c>
      <c r="F61" s="12">
        <f>F$56*BackgroundInfo1!$C$43</f>
        <v>3.6890968340491742E-2</v>
      </c>
      <c r="H61" s="3">
        <f t="shared" si="5"/>
        <v>0</v>
      </c>
      <c r="I61" s="8">
        <f t="shared" si="5"/>
        <v>0.14846941394924951</v>
      </c>
      <c r="J61" s="8">
        <f t="shared" si="5"/>
        <v>0.2630603669091327</v>
      </c>
      <c r="K61" s="8">
        <f t="shared" si="5"/>
        <v>0.35878750797477221</v>
      </c>
    </row>
    <row r="62" spans="2:11" x14ac:dyDescent="0.2">
      <c r="B62" s="31" t="s">
        <v>51</v>
      </c>
      <c r="C62" s="32">
        <f>C$25*2*C$46*C$48</f>
        <v>13.992472495657196</v>
      </c>
      <c r="D62" s="32">
        <f>D$25*2*D$46*D$48</f>
        <v>4.8570754551414232</v>
      </c>
      <c r="E62" s="32">
        <f>E$25*2*E$46*E$48</f>
        <v>3.2146217608363319</v>
      </c>
      <c r="F62" s="32">
        <f>F$25*2*F$46*F$48</f>
        <v>1.405024472353809</v>
      </c>
      <c r="G62" s="33"/>
      <c r="H62" s="34">
        <f t="shared" si="4"/>
        <v>0</v>
      </c>
      <c r="I62" s="35">
        <f t="shared" si="4"/>
        <v>-0.65287939950220375</v>
      </c>
      <c r="J62" s="35">
        <f t="shared" si="4"/>
        <v>-0.77026063393485</v>
      </c>
      <c r="K62" s="35">
        <f t="shared" si="4"/>
        <v>-0.89958711923215273</v>
      </c>
    </row>
    <row r="63" spans="2:11" x14ac:dyDescent="0.2">
      <c r="B63" s="31" t="s">
        <v>126</v>
      </c>
      <c r="C63" s="32">
        <f>C58-C60-C61</f>
        <v>5.8449513205829762</v>
      </c>
      <c r="D63" s="32">
        <f>D58-D60-D61</f>
        <v>11.64625965748291</v>
      </c>
      <c r="E63" s="32">
        <f>E58-E60-E61</f>
        <v>14.334058604091814</v>
      </c>
      <c r="F63" s="32">
        <f>F58-F60-F61</f>
        <v>16.726189552161287</v>
      </c>
      <c r="G63" s="33"/>
      <c r="H63" s="34">
        <f t="shared" si="4"/>
        <v>0</v>
      </c>
      <c r="I63" s="35">
        <f t="shared" si="4"/>
        <v>0.99253321690989038</v>
      </c>
      <c r="J63" s="35">
        <f t="shared" si="4"/>
        <v>1.4523828887358694</v>
      </c>
      <c r="K63" s="35">
        <f t="shared" si="4"/>
        <v>1.8616473662081781</v>
      </c>
    </row>
    <row r="64" spans="2:11" x14ac:dyDescent="0.2">
      <c r="B64" s="31"/>
      <c r="C64" s="32"/>
      <c r="D64" s="32"/>
      <c r="E64" s="32"/>
      <c r="F64" s="32"/>
      <c r="G64" s="33"/>
      <c r="H64" s="34"/>
      <c r="I64" s="35"/>
      <c r="J64" s="35"/>
      <c r="K64" s="35"/>
    </row>
    <row r="65" spans="2:11" x14ac:dyDescent="0.2">
      <c r="H65" s="205" t="s">
        <v>50</v>
      </c>
      <c r="I65" s="205"/>
      <c r="J65" s="205"/>
      <c r="K65" s="205"/>
    </row>
    <row r="66" spans="2:11" x14ac:dyDescent="0.2">
      <c r="B66" s="2" t="s">
        <v>49</v>
      </c>
      <c r="C66" s="12">
        <f>C$46*(($B$8+$B$7)*C$46+2*$B$8*($B$7-1))/($B$7*($B$8+1))-2*C$46-C$57</f>
        <v>53.999999999999943</v>
      </c>
      <c r="D66" s="12">
        <f>D$46*(($B$8+$B$7)*D$46+2*$B$8*($B$7-1))/($B$7*($B$8+1))-2*D$46-D$57</f>
        <v>53.511161512744231</v>
      </c>
      <c r="E66" s="12">
        <f>E$46*(($B$8+$B$7)*E$46+2*$B$8*($B$7-1))/($B$7*($B$8+1))-2*E$46-E$57</f>
        <v>53.012557490875935</v>
      </c>
      <c r="F66" s="12">
        <f>F$46*(($B$8+$B$7)*F$46+2*$B$8*($B$7-1))/($B$7*($B$8+1))-2*F$46-F$57</f>
        <v>52.515010384760899</v>
      </c>
      <c r="H66" s="3">
        <f t="shared" ref="H66:K68" si="6">(C66-$C66)/$C$62</f>
        <v>0</v>
      </c>
      <c r="I66" s="8">
        <f t="shared" si="6"/>
        <v>-3.4935819056098341E-2</v>
      </c>
      <c r="J66" s="8">
        <f t="shared" si="6"/>
        <v>-7.056955155212763E-2</v>
      </c>
      <c r="K66" s="8">
        <f t="shared" si="6"/>
        <v>-0.10612774945242424</v>
      </c>
    </row>
    <row r="67" spans="2:11" x14ac:dyDescent="0.2">
      <c r="B67" s="2" t="s">
        <v>52</v>
      </c>
      <c r="C67" s="12">
        <f>(C$49-1)*2*C$46</f>
        <v>6.1363636363636296</v>
      </c>
      <c r="D67" s="12">
        <f>(D$49-1)*2*D$46</f>
        <v>9.1588541429917587</v>
      </c>
      <c r="E67" s="12">
        <f>(E$49-1)*2*E$46</f>
        <v>11.904115841127664</v>
      </c>
      <c r="F67" s="12">
        <f>(F$49-1)*2*F$46</f>
        <v>14.472933086457401</v>
      </c>
      <c r="H67" s="3">
        <f t="shared" si="6"/>
        <v>0</v>
      </c>
      <c r="I67" s="8">
        <f t="shared" si="6"/>
        <v>0.21600832215794677</v>
      </c>
      <c r="J67" s="8">
        <f t="shared" si="6"/>
        <v>0.41220393369035785</v>
      </c>
      <c r="K67" s="8">
        <f t="shared" si="6"/>
        <v>0.59578958991566133</v>
      </c>
    </row>
    <row r="68" spans="2:11" x14ac:dyDescent="0.2">
      <c r="B68" s="2" t="s">
        <v>53</v>
      </c>
      <c r="C68" s="12">
        <f>C66-C67</f>
        <v>47.863636363636317</v>
      </c>
      <c r="D68" s="12">
        <f>D66-D67</f>
        <v>44.352307369752474</v>
      </c>
      <c r="E68" s="12">
        <f>E66-E67</f>
        <v>41.108441649748272</v>
      </c>
      <c r="F68" s="12">
        <f>F66-F67</f>
        <v>38.042077298303496</v>
      </c>
      <c r="H68" s="3">
        <f t="shared" si="6"/>
        <v>0</v>
      </c>
      <c r="I68" s="8">
        <f t="shared" si="6"/>
        <v>-0.25094414121404524</v>
      </c>
      <c r="J68" s="8">
        <f t="shared" si="6"/>
        <v>-0.48277348524248559</v>
      </c>
      <c r="K68" s="8">
        <f t="shared" si="6"/>
        <v>-0.70191733936808598</v>
      </c>
    </row>
    <row r="69" spans="2:11" x14ac:dyDescent="0.2">
      <c r="B69" s="55" t="s">
        <v>117</v>
      </c>
      <c r="C69" s="48"/>
      <c r="D69" s="48"/>
      <c r="E69" s="48"/>
      <c r="F69" s="48"/>
      <c r="G69" s="48"/>
      <c r="H69" s="50">
        <f>H53*BenefitParams!$B$21*$C$58/$C$62</f>
        <v>0</v>
      </c>
      <c r="I69" s="49">
        <f>I53*BenefitParams!$B$21/BackgroundInfo1!$B$10</f>
        <v>-0.10088132208718215</v>
      </c>
      <c r="J69" s="49">
        <f>J53*BenefitParams!$B$21/BackgroundInfo1!$B$10</f>
        <v>-0.17874306159518982</v>
      </c>
      <c r="K69" s="49">
        <f>K53*BenefitParams!$B$21/BackgroundInfo1!$B$10</f>
        <v>-0.24378730399806517</v>
      </c>
    </row>
    <row r="70" spans="2:11" x14ac:dyDescent="0.2">
      <c r="B70" s="47" t="s">
        <v>131</v>
      </c>
      <c r="C70" s="48"/>
      <c r="D70" s="48"/>
      <c r="E70" s="48"/>
      <c r="F70" s="48"/>
      <c r="G70" s="48"/>
      <c r="H70" s="50">
        <f>H69*BenefitParams!$B$12</f>
        <v>0</v>
      </c>
      <c r="I70" s="49">
        <f>I69*BenefitParams!$D$12</f>
        <v>-8.5594089540662662E-3</v>
      </c>
      <c r="J70" s="49">
        <f>J69*BenefitParams!$D$12</f>
        <v>-1.5165691034192717E-2</v>
      </c>
      <c r="K70" s="49">
        <f>K69*BenefitParams!$D$12</f>
        <v>-2.0684455651021293E-2</v>
      </c>
    </row>
    <row r="71" spans="2:11" x14ac:dyDescent="0.2">
      <c r="B71" s="31" t="s">
        <v>125</v>
      </c>
      <c r="C71" s="33"/>
      <c r="D71" s="33"/>
      <c r="E71" s="33"/>
      <c r="F71" s="33"/>
      <c r="G71" s="33"/>
      <c r="H71" s="58">
        <f>H$63*$C$63/$C$62-H$69*(1-BackgroundInfo1!$D$41)</f>
        <v>0</v>
      </c>
      <c r="I71" s="56">
        <f>I$63*$C$63/$C$62-I$69*(1-BackgroundInfo1!$D$41)</f>
        <v>0.50520968582425907</v>
      </c>
      <c r="J71" s="56">
        <f>J$63*$C$63/$C$62-J$69*(1-BackgroundInfo1!$D$41)</f>
        <v>0.76723092849038077</v>
      </c>
      <c r="K71" s="56">
        <f>K$63*$C$63/$C$62-K$69*(1-BackgroundInfo1!$D$41)</f>
        <v>0.99660950023697148</v>
      </c>
    </row>
    <row r="72" spans="2:11" x14ac:dyDescent="0.2">
      <c r="B72" s="54" t="s">
        <v>33</v>
      </c>
      <c r="C72" s="33"/>
      <c r="D72" s="33"/>
      <c r="E72" s="33"/>
      <c r="F72" s="33"/>
      <c r="G72" s="33"/>
      <c r="H72" s="34">
        <f>(C$49-$C$49)*2*$C$46/$C$62</f>
        <v>0</v>
      </c>
      <c r="I72" s="35">
        <f>(D$49-$C$49)*2*$C$46/$C$62</f>
        <v>0.26166666666666633</v>
      </c>
      <c r="J72" s="35">
        <f>(E$49-$C$49)*2*$C$46/$C$62</f>
        <v>0.52333333333333254</v>
      </c>
      <c r="K72" s="35">
        <f>(F$49-$C$49)*2*$C$46/$C$62</f>
        <v>0.78926281350277006</v>
      </c>
    </row>
    <row r="73" spans="2:11" x14ac:dyDescent="0.2">
      <c r="B73" s="54" t="s">
        <v>127</v>
      </c>
      <c r="C73" s="33"/>
      <c r="D73" s="33"/>
      <c r="E73" s="33"/>
      <c r="F73" s="33"/>
      <c r="G73" s="33"/>
      <c r="H73" s="34">
        <f>2*(C$46-$C$46)*$C$49/$C$62</f>
        <v>0</v>
      </c>
      <c r="I73" s="35">
        <f>2*(D$46-$C$46)*$C$49/$C$62</f>
        <v>-3.7916231347997237E-2</v>
      </c>
      <c r="J73" s="35">
        <f>2*(E$46-$C$46)*$C$49/$C$62</f>
        <v>-6.7180555677448447E-2</v>
      </c>
      <c r="K73" s="35">
        <f>2*(F$46-$C$46)*$C$49/$C$62</f>
        <v>-9.1627425442609933E-2</v>
      </c>
    </row>
    <row r="74" spans="2:11" x14ac:dyDescent="0.2">
      <c r="B74" s="54" t="s">
        <v>128</v>
      </c>
      <c r="C74" s="33"/>
      <c r="D74" s="33"/>
      <c r="E74" s="33"/>
      <c r="F74" s="33"/>
      <c r="G74" s="33"/>
      <c r="H74" s="34">
        <f>(1-BackgroundInfo1!$C$43)*(C$51-$C$51)/$C$62</f>
        <v>0</v>
      </c>
      <c r="I74" s="35">
        <f>(1-BackgroundInfo1!$C$43)*(D$51-$C$51)/$C$62</f>
        <v>3.3129042362160729E-3</v>
      </c>
      <c r="J74" s="35">
        <f>(1-BackgroundInfo1!$C$43)*(E$51-$C$51)/$C$62</f>
        <v>5.8698541385211979E-3</v>
      </c>
      <c r="K74" s="35">
        <f>(1-BackgroundInfo1!$C$43)*(F$51-$C$51)/$C$62</f>
        <v>8.0058823124157536E-3</v>
      </c>
    </row>
    <row r="75" spans="2:11" x14ac:dyDescent="0.2">
      <c r="B75" s="54" t="s">
        <v>129</v>
      </c>
      <c r="H75" s="34">
        <f>(C$49-$C$49)*2*(C$46-$C$46)/$C$62</f>
        <v>0</v>
      </c>
      <c r="I75" s="35">
        <f>(D$49-$C$49)*2*(D$46-$C$46)/$C$62</f>
        <v>-1.7062304106598734E-2</v>
      </c>
      <c r="J75" s="35">
        <f>(E$49-$C$49)*2*(E$46-$C$46)/$C$62</f>
        <v>-6.0462500109703506E-2</v>
      </c>
      <c r="K75" s="35">
        <f>(F$49-$C$49)*2*(F$46-$C$46)/$C$62</f>
        <v>-0.12436874071139739</v>
      </c>
    </row>
    <row r="76" spans="2:11" x14ac:dyDescent="0.2">
      <c r="B76" s="54" t="s">
        <v>130</v>
      </c>
      <c r="H76" s="34">
        <f>($C$60-C$60)/$C$62</f>
        <v>0</v>
      </c>
      <c r="I76" s="35">
        <f>($C$60-D$60)/$C$62</f>
        <v>0.18607407407407409</v>
      </c>
      <c r="J76" s="35">
        <f>($C$60-E$60)/$C$62</f>
        <v>0.18607407407407409</v>
      </c>
      <c r="K76" s="35">
        <f>($C$60-F$60)/$C$62</f>
        <v>0.18607407407407409</v>
      </c>
    </row>
    <row r="77" spans="2:11" x14ac:dyDescent="0.2">
      <c r="B77" s="54" t="s">
        <v>132</v>
      </c>
      <c r="H77" s="34">
        <f>(C$57-$C$57)/$C$62</f>
        <v>0</v>
      </c>
      <c r="I77" s="35">
        <f>(D$57-$C$57)/$C$62</f>
        <v>1.8526980186979156E-2</v>
      </c>
      <c r="J77" s="35">
        <f>(E$57-$C$57)/$C$62</f>
        <v>1.9056805150380909E-2</v>
      </c>
      <c r="K77" s="35">
        <f>(F$57-$C$57)/$C$62</f>
        <v>1.0302824195049824E-2</v>
      </c>
    </row>
    <row r="78" spans="2:11" x14ac:dyDescent="0.2">
      <c r="B78" s="54" t="s">
        <v>133</v>
      </c>
      <c r="H78" s="34">
        <f>-H69*(1-BackgroundInfo1!$D$41)</f>
        <v>0</v>
      </c>
      <c r="I78" s="35">
        <f>-I69*(1-BackgroundInfo1!$D$41)</f>
        <v>9.0607596114919406E-2</v>
      </c>
      <c r="J78" s="35">
        <f>-J69*(1-BackgroundInfo1!$D$41)</f>
        <v>0.16053991758122388</v>
      </c>
      <c r="K78" s="35">
        <f>-K69*(1-BackgroundInfo1!$D$41)</f>
        <v>0.21896007230666897</v>
      </c>
    </row>
    <row r="79" spans="2:11" x14ac:dyDescent="0.2">
      <c r="B79" s="54" t="s">
        <v>137</v>
      </c>
      <c r="H79" s="34">
        <f>BenefitParams!$B$6*(InsulinAct!C$63-InsulinAct!$C$63)/InsulinAct!$C$62+BenefitParams!$B$7*InsulinAct!H$78</f>
        <v>0</v>
      </c>
      <c r="I79" s="35">
        <f>BenefitParams!$D$6*(InsulinAct!D$63-InsulinAct!$C$63)/InsulinAct!$C$62+BenefitParams!$D$7*InsulinAct!I$78</f>
        <v>0.4125193571217694</v>
      </c>
      <c r="J79" s="35">
        <f>BenefitParams!$D$6*(InsulinAct!E$63-InsulinAct!$C$63)/InsulinAct!$C$62+BenefitParams!$D$7*InsulinAct!J$78</f>
        <v>0.62480481914731512</v>
      </c>
      <c r="K79" s="35">
        <f>BenefitParams!$D$6*(InsulinAct!F$63-InsulinAct!$C$63)/InsulinAct!$C$62+BenefitParams!$D$7*InsulinAct!K$78</f>
        <v>0.81084668862148435</v>
      </c>
    </row>
    <row r="80" spans="2:11" x14ac:dyDescent="0.2">
      <c r="B80" s="54" t="s">
        <v>138</v>
      </c>
      <c r="H80" s="34">
        <f>H79*BackgroundInfo2!$B$15</f>
        <v>0</v>
      </c>
      <c r="I80" s="35">
        <f>I79*BackgroundInfo2!$B$15</f>
        <v>0.2062596785608847</v>
      </c>
      <c r="J80" s="35">
        <f>J79*BackgroundInfo2!$B$15</f>
        <v>0.31240240957365756</v>
      </c>
      <c r="K80" s="35">
        <f>K79*BackgroundInfo2!$B$15</f>
        <v>0.40542334431074217</v>
      </c>
    </row>
    <row r="81" spans="2:11" x14ac:dyDescent="0.2">
      <c r="B81" s="72" t="s">
        <v>158</v>
      </c>
      <c r="H81" s="74">
        <f>(C$89-$C$89)*BackgroundInfo2!$B$26/InsulinAct!$C$62</f>
        <v>0</v>
      </c>
      <c r="I81" s="75">
        <f>(D$89-$C$89)*BackgroundInfo2!$B$26/InsulinAct!$C$62</f>
        <v>-3.8535579639599658E-2</v>
      </c>
      <c r="J81" s="75">
        <f>(E$89-$C$89)*BackgroundInfo2!$B$26/InsulinAct!$C$62</f>
        <v>-6.4349903317542659E-2</v>
      </c>
      <c r="K81" s="75">
        <f>(F$89-$C$89)*BackgroundInfo2!$B$26/InsulinAct!$C$62</f>
        <v>-6.6364596470178311E-2</v>
      </c>
    </row>
    <row r="82" spans="2:11" x14ac:dyDescent="0.2">
      <c r="B82" s="54"/>
      <c r="H82" s="34"/>
      <c r="I82" s="35"/>
      <c r="J82" s="35"/>
      <c r="K82" s="35"/>
    </row>
    <row r="83" spans="2:11" x14ac:dyDescent="0.2">
      <c r="B83" s="55" t="s">
        <v>152</v>
      </c>
      <c r="H83" s="34"/>
      <c r="I83" s="35"/>
      <c r="J83" s="35"/>
      <c r="K83" s="35"/>
    </row>
    <row r="84" spans="2:11" x14ac:dyDescent="0.2">
      <c r="B84" s="72" t="s">
        <v>27</v>
      </c>
      <c r="C84" s="73">
        <f>(1-0.5*$B$7/$B$8)*(C$44-4*($B$8+1)*(2*$B$8-$B$7)*$B$7/(($B$8+$B$7)*$B$8))/(C$44-2*($B$8+1)*(2*$B$8-$B$7)*$B$7/(($B$8+$B$7)*$B$8))</f>
        <v>1.7727272727272727</v>
      </c>
      <c r="D84" s="73">
        <f>(1-0.5*$B$7/$B$8)*(D$44-4*($B$8+1)*(2*$B$8-$B$7)*$B$7/(($B$8+$B$7)*$B$8))/(D$44-2*($B$8+1)*(2*$B$8-$B$7)*$B$7/(($B$8+$B$7)*$B$8))</f>
        <v>1.5955651271612266</v>
      </c>
      <c r="E84" s="73">
        <f>(1-0.5*$B$7/$B$8)*(E$44-4*($B$8+1)*(2*$B$8-$B$7)*$B$7/(($B$8+$B$7)*$B$8))/(E$44-2*($B$8+1)*(2*$B$8-$B$7)*$B$7/(($B$8+$B$7)*$B$8))</f>
        <v>1.3892886149925687</v>
      </c>
      <c r="F84" s="73">
        <f>(1-0.5*$B$7/$B$8)*(F$44-4*($B$8+1)*(2*$B$8-$B$7)*$B$7/(($B$8+$B$7)*$B$8))/(F$44-2*($B$8+1)*(2*$B$8-$B$7)*$B$7/(($B$8+$B$7)*$B$8))</f>
        <v>1.1309915197544358</v>
      </c>
      <c r="G84" s="61"/>
      <c r="H84" s="74">
        <f t="shared" ref="H84:K85" si="7">C84/$C84-1</f>
        <v>0</v>
      </c>
      <c r="I84" s="75">
        <f t="shared" si="7"/>
        <v>-9.9937620575718311E-2</v>
      </c>
      <c r="J84" s="75">
        <f t="shared" si="7"/>
        <v>-0.21629873000419197</v>
      </c>
      <c r="K84" s="75">
        <f t="shared" si="7"/>
        <v>-0.36200478372826694</v>
      </c>
    </row>
    <row r="85" spans="2:11" x14ac:dyDescent="0.2">
      <c r="B85" s="72" t="s">
        <v>29</v>
      </c>
      <c r="C85" s="73">
        <f>(C$44*($B$7-$B$8+2*$B$7*$B$8)-4*($B$8+1)*($B$8+1)*(2*$B$8-$B$7)*$B$7*$B$7/(($B$8+$B$7)*$B$8))/(C$44-2*($B$8+1)*(2*$B$8-$B$7)*$B$7/(($B$8+$B$7)*$B$8))/(2*$B$7*($B$8+1))</f>
        <v>0.99999999999999878</v>
      </c>
      <c r="D85" s="73">
        <f>(D$44*($B$7-$B$8+2*$B$7*$B$8)-4*($B$8+1)*($B$8+1)*(2*$B$8-$B$7)*$B$7*$B$7/(($B$8+$B$7)*$B$8))/(D$44-2*($B$8+1)*(2*$B$8-$B$7)*$B$7/(($B$8+$B$7)*$B$8))/(2*$B$7*($B$8+1))</f>
        <v>6.3966315110887857</v>
      </c>
      <c r="E85" s="73">
        <f>(E$44*($B$7-$B$8+2*$B$7*$B$8)-4*($B$8+1)*($B$8+1)*(2*$B$8-$B$7)*$B$7*$B$7/(($B$8+$B$7)*$B$8))/(E$44-2*($B$8+1)*(2*$B$8-$B$7)*$B$7/(($B$8+$B$7)*$B$8))/(2*$B$7*($B$8+1))</f>
        <v>12.680131420226356</v>
      </c>
      <c r="F85" s="73">
        <f>(F$44*($B$7-$B$8+2*$B$7*$B$8)-4*($B$8+1)*($B$8+1)*(2*$B$8-$B$7)*$B$7*$B$7/(($B$8+$B$7)*$B$8))/(F$44-2*($B$8+1)*(2*$B$8-$B$7)*$B$7/(($B$8+$B$7)*$B$8))/(2*$B$7*($B$8+1))</f>
        <v>20.548258321326394</v>
      </c>
      <c r="G85" s="61"/>
      <c r="H85" s="74">
        <f t="shared" si="7"/>
        <v>0</v>
      </c>
      <c r="I85" s="75">
        <f t="shared" si="7"/>
        <v>5.3966315110887937</v>
      </c>
      <c r="J85" s="75">
        <f t="shared" si="7"/>
        <v>11.680131420226372</v>
      </c>
      <c r="K85" s="75">
        <f t="shared" si="7"/>
        <v>19.548258321326418</v>
      </c>
    </row>
    <row r="86" spans="2:11" x14ac:dyDescent="0.2">
      <c r="B86" s="72" t="s">
        <v>30</v>
      </c>
      <c r="C86" s="61">
        <f>($B$7-$B$8+2*$B$7*$B$8)/(2*$B$7*($B$8+1))</f>
        <v>27.999999999999979</v>
      </c>
      <c r="D86" s="61">
        <f>($B$7-$B$8+2*$B$7*$B$8)/(2*$B$7*($B$8+1))</f>
        <v>27.999999999999979</v>
      </c>
      <c r="E86" s="61">
        <f>($B$7-$B$8+2*$B$7*$B$8)/(2*$B$7*($B$8+1))</f>
        <v>27.999999999999979</v>
      </c>
      <c r="F86" s="61">
        <f>($B$7-$B$8+2*$B$7*$B$8)/(2*$B$7*($B$8+1))</f>
        <v>27.999999999999979</v>
      </c>
      <c r="G86" s="61"/>
      <c r="H86" s="74"/>
      <c r="I86" s="75"/>
      <c r="J86" s="75"/>
      <c r="K86" s="75"/>
    </row>
    <row r="87" spans="2:11" x14ac:dyDescent="0.2">
      <c r="B87" s="72" t="s">
        <v>150</v>
      </c>
      <c r="C87" s="73">
        <f>(2*$B$8-$B$7)*(C$44*C$44*($B$7-$B$8+2*$B$7*$B$8)-2*C$44*($B$8+1)*(2*$B$8-$B$7)*$B$7*(7*$B$7-$B$8+8*$B$7*$B$8)/(($B$8+$B$7)*$B$8)+6*($B$8+1)*($B$8+1)*(2*$B$8-$B$7)*(2*$B$8-$B$7)*$B$7*$B$7*(3*$B$7-$B$8+4*$B$7*$B$8)/(($B$8+$B$7)*$B$8*($B$8+$B$7)*$B$8))/(4*$B$8*($B$8+1)*$B$7*(C$44-2*($B$8+1)*(2*$B$8-$B$7)*$B$7/(($B$8+$B$7)*$B$8))^2)</f>
        <v>38.556818181818159</v>
      </c>
      <c r="D87" s="73">
        <f>(2*$B$8-$B$7)*(D$44*D$44*($B$7-$B$8+2*$B$7*$B$8)-2*D$44*($B$8+1)*(2*$B$8-$B$7)*$B$7*(7*$B$7-$B$8+8*$B$7*$B$8)/(($B$8+$B$7)*$B$8)+6*($B$8+1)*($B$8+1)*(2*$B$8-$B$7)*(2*$B$8-$B$7)*$B$7*$B$7*(3*$B$7-$B$8+4*$B$7*$B$8)/(($B$8+$B$7)*$B$8*($B$8+$B$7)*$B$8))/(4*$B$8*($B$8+1)*$B$7*(D$44-2*($B$8+1)*(2*$B$8-$B$7)*$B$7/(($B$8+$B$7)*$B$8))^2)</f>
        <v>30.069856256120318</v>
      </c>
      <c r="E87" s="73">
        <f>(2*$B$8-$B$7)*(E$44*E$44*($B$7-$B$8+2*$B$7*$B$8)-2*E$44*($B$8+1)*(2*$B$8-$B$7)*$B$7*(7*$B$7-$B$8+8*$B$7*$B$8)/(($B$8+$B$7)*$B$8)+6*($B$8+1)*($B$8+1)*(2*$B$8-$B$7)*(2*$B$8-$B$7)*$B$7*$B$7*(3*$B$7-$B$8+4*$B$7*$B$8)/(($B$8+$B$7)*$B$8*($B$8+$B$7)*$B$8))/(4*$B$8*($B$8+1)*$B$7*(E$44-2*($B$8+1)*(2*$B$8-$B$7)*$B$7/(($B$8+$B$7)*$B$8))^2)</f>
        <v>23.802174219579545</v>
      </c>
      <c r="F87" s="73">
        <f>(2*$B$8-$B$7)*(F$44*F$44*($B$7-$B$8+2*$B$7*$B$8)-2*F$44*($B$8+1)*(2*$B$8-$B$7)*$B$7*(7*$B$7-$B$8+8*$B$7*$B$8)/(($B$8+$B$7)*$B$8)+6*($B$8+1)*($B$8+1)*(2*$B$8-$B$7)*(2*$B$8-$B$7)*$B$7*$B$7*(3*$B$7-$B$8+4*$B$7*$B$8)/(($B$8+$B$7)*$B$8*($B$8+$B$7)*$B$8))/(4*$B$8*($B$8+1)*$B$7*(F$44-2*($B$8+1)*(2*$B$8-$B$7)*$B$7/(($B$8+$B$7)*$B$8))^2)</f>
        <v>21.436840425055195</v>
      </c>
      <c r="H87" s="74">
        <f t="shared" ref="H87:K87" si="8">C87/$C87-1</f>
        <v>0</v>
      </c>
      <c r="I87" s="75">
        <f t="shared" si="8"/>
        <v>-0.22011572338974672</v>
      </c>
      <c r="J87" s="75">
        <f t="shared" si="8"/>
        <v>-0.38267275823076885</v>
      </c>
      <c r="K87" s="75">
        <f t="shared" si="8"/>
        <v>-0.44401946436638429</v>
      </c>
    </row>
    <row r="88" spans="2:11" x14ac:dyDescent="0.2">
      <c r="B88" s="72" t="s">
        <v>151</v>
      </c>
      <c r="C88" s="73">
        <f>1-0.5*$B$7/$B$8</f>
        <v>0.88636363636363635</v>
      </c>
      <c r="D88" s="73">
        <f>1-0.5*$B$7/$B$8</f>
        <v>0.88636363636363635</v>
      </c>
      <c r="E88" s="73">
        <f>1-0.5*$B$7/$B$8</f>
        <v>0.88636363636363635</v>
      </c>
      <c r="F88" s="73">
        <f>1-0.5*$B$7/$B$8</f>
        <v>0.88636363636363635</v>
      </c>
    </row>
    <row r="89" spans="2:11" x14ac:dyDescent="0.2">
      <c r="B89" s="72" t="s">
        <v>153</v>
      </c>
      <c r="C89" s="73">
        <f>C$87*BackgroundInfo2!$B$22+(BackgroundInfo2!$B$23+BackgroundInfo2!$B$24*BackgroundInfo2!$B$25)*C$49*C$46</f>
        <v>9.6565783097953464</v>
      </c>
      <c r="D89" s="73">
        <f>D$87*BackgroundInfo2!$B$22+(BackgroundInfo2!$B$23+BackgroundInfo2!$B$24*BackgroundInfo2!$B$25)*D$49*D$46</f>
        <v>8.3538595253792938</v>
      </c>
      <c r="E89" s="73">
        <f>E$87*BackgroundInfo2!$B$22+(BackgroundInfo2!$B$23+BackgroundInfo2!$B$24*BackgroundInfo2!$B$25)*E$49*E$46</f>
        <v>7.4811905613527339</v>
      </c>
      <c r="F89" s="73">
        <f>F$87*BackgroundInfo2!$B$22+(BackgroundInfo2!$B$23+BackgroundInfo2!$B$24*BackgroundInfo2!$B$25)*F$49*F$46</f>
        <v>7.4130826299470307</v>
      </c>
      <c r="H89" s="74">
        <f t="shared" ref="H89:K89" si="9">C89/$C89-1</f>
        <v>0</v>
      </c>
      <c r="I89" s="75">
        <f t="shared" si="9"/>
        <v>-0.13490480195191012</v>
      </c>
      <c r="J89" s="75">
        <f t="shared" si="9"/>
        <v>-0.22527521433093578</v>
      </c>
      <c r="K89" s="75">
        <f t="shared" si="9"/>
        <v>-0.23232822309042744</v>
      </c>
    </row>
    <row r="92" spans="2:11" x14ac:dyDescent="0.2">
      <c r="C92" s="3"/>
      <c r="D92" s="3"/>
      <c r="E92" s="3"/>
      <c r="F92" s="3"/>
    </row>
  </sheetData>
  <mergeCells count="7">
    <mergeCell ref="H65:K65"/>
    <mergeCell ref="C6:G6"/>
    <mergeCell ref="C7:H7"/>
    <mergeCell ref="C8:H8"/>
    <mergeCell ref="C19:L20"/>
    <mergeCell ref="C21:F21"/>
    <mergeCell ref="H21:K21"/>
  </mergeCells>
  <conditionalFormatting sqref="D24:F24">
    <cfRule type="cellIs" dxfId="7" priority="3" operator="greaterThan">
      <formula>$B$13</formula>
    </cfRule>
  </conditionalFormatting>
  <conditionalFormatting sqref="C25:F25">
    <cfRule type="cellIs" dxfId="6" priority="1" operator="equal">
      <formula>C$24</formula>
    </cfRule>
  </conditionalFormatting>
  <dataValidations count="7">
    <dataValidation type="custom" operator="lessThan" allowBlank="1" showInputMessage="1" showErrorMessage="1" errorTitle="Rebate rate out of range" error="Must be positive but below Maximum." promptTitle="Scenario3rr" prompt="Rebate rate scenario" sqref="F24" xr:uid="{CAA80CE1-22A9-1C47-8810-4AEC2C0FF5A7}">
      <formula1>AND(F24&gt;0,F24&lt;=$B$13)</formula1>
    </dataValidation>
    <dataValidation type="custom" operator="lessThan" allowBlank="1" showInputMessage="1" showErrorMessage="1" errorTitle="Rebate rate out of range" error="Must be positive but below Maximum." promptTitle="Scenario2rr" prompt="Rebate rate scenario" sqref="E24" xr:uid="{4A239DD5-ADA3-6B4F-9D56-1BCE3248392D}">
      <formula1>AND(E24&gt;0,E24&lt;=$B$13)</formula1>
    </dataValidation>
    <dataValidation type="custom" operator="lessThan" allowBlank="1" showInputMessage="1" showErrorMessage="1" errorTitle="Rebate rate out of range" error="Must be positive but below Maximum." promptTitle="Scenario1rr" prompt="Rebate rate scenario" sqref="D24" xr:uid="{5938DD2F-1DFD-164B-B3C8-1BA8AB25A312}">
      <formula1>AND(D24&gt;0,D24&lt;=$B$13)</formula1>
    </dataValidation>
    <dataValidation type="custom" allowBlank="1" showInputMessage="1" showErrorMessage="1" promptTitle="beta" prompt="Share of management surplus going to plans and patients" sqref="C26" xr:uid="{FEEF0A66-B44B-5E43-84CB-E47608B4A1DD}">
      <formula1>AND(C26&gt;=$B$15,C26&lt;=$B$16)</formula1>
    </dataValidation>
    <dataValidation type="custom" operator="lessThan" allowBlank="1" showInputMessage="1" showErrorMessage="1" errorTitle="Rebate rate out of range" error="Must be positive but below 100%." promptTitle="Baselinerr" prompt="Baseline rebate rate" sqref="B9" xr:uid="{092A1DE5-CAF1-704C-997F-E3848A4D8A8B}">
      <formula1>AND(B9&gt;0,B9&lt;1)</formula1>
    </dataValidation>
    <dataValidation type="custom" operator="lessThan" allowBlank="1" showInputMessage="1" showErrorMessage="1" errorTitle="epsilon out of range" error="Must be less than BOTH -1 and industry elasticity." promptTitle="epsilon" prompt="Own-price elasticity of demand" sqref="B8" xr:uid="{836D0F9E-D752-0340-9884-2728A4DE951B}">
      <formula1>AND(B8&lt;-1,B8&lt;B7)</formula1>
    </dataValidation>
    <dataValidation type="custom" operator="lessThan" allowBlank="1" showInputMessage="1" showErrorMessage="1" errorTitle="eta out of range" error="Must be in the interval (own elas,0)." promptTitle="eta" prompt="Industry elasticity of demand" sqref="B7" xr:uid="{09638051-8694-294C-B385-DC9DF6235CDC}">
      <formula1>AND(B7&lt;0,B7&gt;B8)</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8B63D-416F-114B-AC85-601AECB05FAD}">
  <dimension ref="A1:P72"/>
  <sheetViews>
    <sheetView showGridLines="0" workbookViewId="0">
      <pane xSplit="2" ySplit="22" topLeftCell="C23" activePane="bottomRight" state="frozen"/>
      <selection pane="topRight" activeCell="C1" sqref="C1"/>
      <selection pane="bottomLeft" activeCell="A21" sqref="A21"/>
      <selection pane="bottomRight" activeCell="C23" sqref="C23"/>
    </sheetView>
  </sheetViews>
  <sheetFormatPr baseColWidth="10" defaultRowHeight="16" x14ac:dyDescent="0.2"/>
  <cols>
    <col min="1" max="1" width="43.33203125" bestFit="1" customWidth="1"/>
    <col min="2" max="2" width="18.83203125" customWidth="1"/>
    <col min="3" max="3" width="10.5" bestFit="1" customWidth="1"/>
    <col min="15" max="16" width="0" hidden="1" customWidth="1"/>
  </cols>
  <sheetData>
    <row r="1" spans="1:13" x14ac:dyDescent="0.2">
      <c r="A1" s="140" t="s">
        <v>235</v>
      </c>
      <c r="B1" s="141"/>
      <c r="C1" s="141"/>
      <c r="D1" s="141"/>
      <c r="E1" s="141"/>
      <c r="F1" s="141"/>
      <c r="G1" s="141"/>
      <c r="H1" s="141"/>
      <c r="I1" s="141"/>
      <c r="J1" s="141"/>
      <c r="K1" s="141"/>
      <c r="L1" s="141"/>
      <c r="M1" s="141"/>
    </row>
    <row r="2" spans="1:13" x14ac:dyDescent="0.2">
      <c r="A2" s="142" t="s">
        <v>40</v>
      </c>
      <c r="B2" s="141"/>
      <c r="C2" s="141"/>
      <c r="D2" s="141"/>
      <c r="E2" s="141"/>
      <c r="F2" s="141"/>
      <c r="G2" s="141"/>
      <c r="H2" s="141"/>
      <c r="I2" s="141"/>
      <c r="J2" s="141"/>
      <c r="K2" s="141"/>
      <c r="L2" s="141"/>
      <c r="M2" s="141"/>
    </row>
    <row r="3" spans="1:13" x14ac:dyDescent="0.2">
      <c r="A3" s="145" t="s">
        <v>135</v>
      </c>
      <c r="B3" s="141"/>
      <c r="C3" s="141"/>
      <c r="D3" s="141"/>
      <c r="E3" s="141"/>
      <c r="F3" s="141"/>
      <c r="G3" s="141"/>
      <c r="H3" s="141"/>
      <c r="I3" s="141"/>
      <c r="J3" s="141"/>
      <c r="K3" s="141"/>
      <c r="L3" s="141"/>
      <c r="M3" s="141"/>
    </row>
    <row r="4" spans="1:13" x14ac:dyDescent="0.2">
      <c r="A4" s="145" t="s">
        <v>136</v>
      </c>
      <c r="B4" s="141"/>
      <c r="C4" s="141"/>
      <c r="D4" s="141"/>
      <c r="E4" s="141"/>
      <c r="F4" s="141"/>
      <c r="G4" s="141"/>
      <c r="H4" s="141"/>
      <c r="I4" s="141"/>
      <c r="J4" s="141"/>
      <c r="K4" s="141"/>
      <c r="L4" s="141"/>
      <c r="M4" s="141"/>
    </row>
    <row r="5" spans="1:13" x14ac:dyDescent="0.2">
      <c r="A5" s="141"/>
      <c r="B5" s="141"/>
      <c r="C5" s="141"/>
      <c r="D5" s="141"/>
      <c r="E5" s="141"/>
      <c r="F5" s="141"/>
      <c r="G5" s="141"/>
      <c r="H5" s="141"/>
      <c r="I5" s="141"/>
      <c r="J5" s="141"/>
      <c r="K5" s="141"/>
      <c r="L5" s="141"/>
      <c r="M5" s="141"/>
    </row>
    <row r="6" spans="1:13" x14ac:dyDescent="0.2">
      <c r="A6" s="143" t="s">
        <v>1</v>
      </c>
      <c r="B6" s="146" t="s">
        <v>2</v>
      </c>
      <c r="C6" s="210" t="s">
        <v>3</v>
      </c>
      <c r="D6" s="210"/>
      <c r="E6" s="210"/>
      <c r="F6" s="210"/>
      <c r="G6" s="210"/>
      <c r="H6" s="210"/>
      <c r="I6" s="143"/>
      <c r="J6" s="143"/>
      <c r="K6" s="143"/>
      <c r="L6" s="143"/>
      <c r="M6" s="143"/>
    </row>
    <row r="7" spans="1:13" x14ac:dyDescent="0.2">
      <c r="A7" s="141" t="s">
        <v>0</v>
      </c>
      <c r="B7" s="4">
        <f>-9/8</f>
        <v>-1.125</v>
      </c>
      <c r="C7" s="212" t="s">
        <v>6</v>
      </c>
      <c r="D7" s="213"/>
      <c r="E7" s="213"/>
      <c r="F7" s="213"/>
      <c r="G7" s="213"/>
      <c r="H7" s="213"/>
      <c r="I7" s="213"/>
      <c r="J7" s="141"/>
      <c r="K7" s="141"/>
      <c r="L7" s="141"/>
      <c r="M7" s="141"/>
    </row>
    <row r="8" spans="1:13" x14ac:dyDescent="0.2">
      <c r="A8" s="141" t="s">
        <v>5</v>
      </c>
      <c r="B8" s="4">
        <v>-1.5</v>
      </c>
      <c r="C8" s="212" t="s">
        <v>4</v>
      </c>
      <c r="D8" s="213"/>
      <c r="E8" s="213"/>
      <c r="F8" s="213"/>
      <c r="G8" s="213"/>
      <c r="H8" s="213"/>
      <c r="I8" s="213"/>
      <c r="J8" s="141"/>
      <c r="K8" s="141"/>
      <c r="L8" s="141"/>
      <c r="M8" s="141"/>
    </row>
    <row r="9" spans="1:13" x14ac:dyDescent="0.2">
      <c r="A9" s="141" t="s">
        <v>161</v>
      </c>
      <c r="B9" s="9">
        <f>BackgroundInfo1!$B$14</f>
        <v>0.29787253798337188</v>
      </c>
      <c r="C9" s="212" t="s">
        <v>19</v>
      </c>
      <c r="D9" s="213"/>
      <c r="E9" s="213"/>
      <c r="F9" s="213"/>
      <c r="G9" s="213"/>
      <c r="H9" s="213"/>
      <c r="I9" s="213"/>
      <c r="J9" s="141"/>
      <c r="K9" s="141"/>
      <c r="L9" s="141"/>
      <c r="M9" s="141"/>
    </row>
    <row r="10" spans="1:13" x14ac:dyDescent="0.2">
      <c r="A10" s="141"/>
      <c r="B10" s="141"/>
      <c r="C10" s="147"/>
      <c r="D10" s="147"/>
      <c r="E10" s="147"/>
      <c r="F10" s="147"/>
      <c r="G10" s="147"/>
      <c r="H10" s="141"/>
      <c r="I10" s="141"/>
      <c r="J10" s="141"/>
      <c r="K10" s="141"/>
      <c r="L10" s="141"/>
      <c r="M10" s="141"/>
    </row>
    <row r="11" spans="1:13" x14ac:dyDescent="0.2">
      <c r="A11" s="141"/>
      <c r="B11" s="141"/>
      <c r="C11" s="141"/>
      <c r="D11" s="141"/>
      <c r="E11" s="141"/>
      <c r="F11" s="141"/>
      <c r="G11" s="141"/>
      <c r="H11" s="141"/>
      <c r="I11" s="141"/>
      <c r="J11" s="141"/>
      <c r="K11" s="141"/>
      <c r="L11" s="141"/>
      <c r="M11" s="141"/>
    </row>
    <row r="12" spans="1:13" x14ac:dyDescent="0.2">
      <c r="A12" s="141" t="s">
        <v>165</v>
      </c>
      <c r="B12" s="141">
        <f>B7-B8</f>
        <v>0.375</v>
      </c>
      <c r="C12" s="141"/>
      <c r="D12" s="141"/>
      <c r="E12" s="141"/>
      <c r="F12" s="141"/>
      <c r="G12" s="141"/>
      <c r="H12" s="141"/>
      <c r="I12" s="141"/>
      <c r="J12" s="141"/>
      <c r="K12" s="141"/>
      <c r="L12" s="141"/>
      <c r="M12" s="141"/>
    </row>
    <row r="13" spans="1:13" x14ac:dyDescent="0.2">
      <c r="A13" s="141" t="s">
        <v>162</v>
      </c>
      <c r="B13" s="148">
        <f>-0.5*(B7+B8)/(2*B8*B8+B8-B7)</f>
        <v>0.31818181818181818</v>
      </c>
      <c r="C13" s="141"/>
      <c r="D13" s="141"/>
      <c r="E13" s="141"/>
      <c r="F13" s="141"/>
      <c r="G13" s="141"/>
      <c r="H13" s="141"/>
      <c r="I13" s="141"/>
      <c r="J13" s="141"/>
      <c r="K13" s="141"/>
      <c r="L13" s="141"/>
      <c r="M13" s="141"/>
    </row>
    <row r="14" spans="1:13" x14ac:dyDescent="0.2">
      <c r="A14" s="141" t="s">
        <v>163</v>
      </c>
      <c r="B14" s="148"/>
      <c r="C14" s="141"/>
      <c r="D14" s="141"/>
      <c r="E14" s="141"/>
      <c r="F14" s="141"/>
      <c r="G14" s="141"/>
      <c r="H14" s="141"/>
      <c r="I14" s="141"/>
      <c r="J14" s="141"/>
      <c r="K14" s="141"/>
      <c r="L14" s="141"/>
      <c r="M14" s="141"/>
    </row>
    <row r="15" spans="1:13" x14ac:dyDescent="0.2">
      <c r="A15" s="149" t="s">
        <v>14</v>
      </c>
      <c r="B15" s="148">
        <f>MAX(0,-1-4*MIN(B$9,B$13)*(2*B$8*B$8+B$8-B$7)/(B$7+B$8))</f>
        <v>0.87234166732405183</v>
      </c>
      <c r="C15" s="141"/>
      <c r="D15" s="141"/>
      <c r="E15" s="141"/>
      <c r="F15" s="141"/>
      <c r="G15" s="141"/>
      <c r="H15" s="141"/>
      <c r="I15" s="141"/>
      <c r="J15" s="141"/>
      <c r="K15" s="141"/>
      <c r="L15" s="141"/>
      <c r="M15" s="141"/>
    </row>
    <row r="16" spans="1:13" x14ac:dyDescent="0.2">
      <c r="A16" s="149" t="s">
        <v>15</v>
      </c>
      <c r="B16" s="148">
        <v>1</v>
      </c>
      <c r="C16" s="141"/>
      <c r="D16" s="141"/>
      <c r="E16" s="141"/>
      <c r="F16" s="141"/>
      <c r="G16" s="141"/>
      <c r="H16" s="141"/>
      <c r="I16" s="141"/>
      <c r="J16" s="141"/>
      <c r="K16" s="141"/>
      <c r="L16" s="141"/>
      <c r="M16" s="141"/>
    </row>
    <row r="17" spans="1:16" x14ac:dyDescent="0.2">
      <c r="A17" s="149" t="s">
        <v>16</v>
      </c>
      <c r="B17" s="148">
        <f>AVERAGE(B15:B16)</f>
        <v>0.93617083366202591</v>
      </c>
      <c r="C17" s="141"/>
      <c r="D17" s="141"/>
      <c r="E17" s="141"/>
      <c r="F17" s="141"/>
      <c r="G17" s="141"/>
      <c r="H17" s="141"/>
      <c r="I17" s="141"/>
      <c r="J17" s="141"/>
      <c r="K17" s="141"/>
      <c r="L17" s="141"/>
      <c r="M17" s="141"/>
    </row>
    <row r="18" spans="1:16" x14ac:dyDescent="0.2">
      <c r="A18" s="149"/>
      <c r="B18" s="148"/>
      <c r="C18" s="141"/>
      <c r="D18" s="141"/>
      <c r="E18" s="141"/>
      <c r="F18" s="141"/>
      <c r="G18" s="141"/>
      <c r="H18" s="141"/>
      <c r="I18" s="141"/>
      <c r="J18" s="141"/>
      <c r="K18" s="141"/>
      <c r="L18" s="141"/>
      <c r="M18" s="141"/>
    </row>
    <row r="19" spans="1:16" x14ac:dyDescent="0.2">
      <c r="C19" s="211" t="str">
        <f>IF($O$25&gt;0,"Warning: "&amp;TEXT($O$25,"0")&amp;" scenario"&amp;IF($O$25=1," ("&amp;LEFT($O$24,LEN($O$24)-2)&amp;")"&amp;" has a target rebate rate that is","s ("&amp;LEFT($O$24,LEN($O$24)-2)&amp;")"&amp;" have target rebate rates that are")&amp;" not supported unless brands are less substitutable.  To achieve target rates, edit the red-highlighted demand parameters or the red-highlighted target rebate rates.","")</f>
        <v/>
      </c>
      <c r="D19" s="211"/>
      <c r="E19" s="211"/>
      <c r="F19" s="211"/>
      <c r="G19" s="211"/>
      <c r="H19" s="211"/>
      <c r="I19" s="211"/>
      <c r="J19" s="211"/>
      <c r="K19" s="211"/>
      <c r="L19" s="211"/>
      <c r="M19" s="211"/>
      <c r="N19" s="211"/>
    </row>
    <row r="20" spans="1:16" x14ac:dyDescent="0.2">
      <c r="C20" s="211"/>
      <c r="D20" s="211"/>
      <c r="E20" s="211"/>
      <c r="F20" s="211"/>
      <c r="G20" s="211"/>
      <c r="H20" s="211"/>
      <c r="I20" s="211"/>
      <c r="J20" s="211"/>
      <c r="K20" s="211"/>
      <c r="L20" s="211"/>
      <c r="M20" s="211"/>
      <c r="N20" s="211"/>
    </row>
    <row r="21" spans="1:16" x14ac:dyDescent="0.2">
      <c r="C21" s="207" t="s">
        <v>8</v>
      </c>
      <c r="D21" s="207"/>
      <c r="E21" s="207"/>
      <c r="F21" s="207"/>
      <c r="G21" s="207"/>
      <c r="I21" s="207" t="s">
        <v>32</v>
      </c>
      <c r="J21" s="207"/>
      <c r="K21" s="207"/>
      <c r="L21" s="207"/>
      <c r="M21" s="207"/>
    </row>
    <row r="22" spans="1:16" x14ac:dyDescent="0.2">
      <c r="B22" s="152" t="s">
        <v>13</v>
      </c>
      <c r="C22" s="6" t="s">
        <v>9</v>
      </c>
      <c r="D22" s="16" t="s">
        <v>10</v>
      </c>
      <c r="E22" s="16" t="s">
        <v>11</v>
      </c>
      <c r="F22" s="16" t="s">
        <v>10</v>
      </c>
      <c r="G22" s="16" t="s">
        <v>11</v>
      </c>
      <c r="I22" s="6" t="str">
        <f>C22</f>
        <v>Baseline</v>
      </c>
      <c r="J22" s="6" t="str">
        <f>D22</f>
        <v>OACT</v>
      </c>
      <c r="K22" s="6" t="str">
        <f>E22</f>
        <v>OACTX2</v>
      </c>
      <c r="L22" s="6" t="str">
        <f>F22</f>
        <v>OACT</v>
      </c>
      <c r="M22" s="6" t="str">
        <f>G22</f>
        <v>OACTX2</v>
      </c>
    </row>
    <row r="23" spans="1:16" x14ac:dyDescent="0.2">
      <c r="B23" s="18" t="str">
        <f>IF($O$25=0,"","Rebate rate (brands)")</f>
        <v/>
      </c>
      <c r="C23" s="2"/>
      <c r="D23" s="214" t="s">
        <v>169</v>
      </c>
      <c r="E23" s="214"/>
      <c r="F23" s="215" t="s">
        <v>170</v>
      </c>
      <c r="G23" s="215"/>
      <c r="I23" s="2"/>
      <c r="J23" s="216" t="s">
        <v>169</v>
      </c>
      <c r="K23" s="216"/>
      <c r="L23" s="215" t="s">
        <v>170</v>
      </c>
      <c r="M23" s="215"/>
      <c r="O23" t="s">
        <v>36</v>
      </c>
    </row>
    <row r="24" spans="1:16" x14ac:dyDescent="0.2">
      <c r="B24" s="2" t="s">
        <v>180</v>
      </c>
      <c r="C24" s="7">
        <f>$B$9</f>
        <v>0.29787253798337188</v>
      </c>
      <c r="D24" s="13">
        <f>$C24*(1-0.15*BackgroundInfo1!$C$40)</f>
        <v>0.29333963905309357</v>
      </c>
      <c r="E24" s="13">
        <f>$C24*(1-0.3*BackgroundInfo1!$C$40)</f>
        <v>0.28880674012281532</v>
      </c>
      <c r="F24" s="13">
        <f>$C24*(1-0.15)</f>
        <v>0.25319165728586607</v>
      </c>
      <c r="G24" s="13">
        <f>$C24*(1-0.3)</f>
        <v>0.20851077658836031</v>
      </c>
      <c r="I24" s="2"/>
      <c r="J24" s="114"/>
      <c r="K24" s="114"/>
      <c r="L24" s="123"/>
      <c r="M24" s="94"/>
      <c r="O24" t="str" cm="1">
        <f t="array" ref="O24">IF(O25=0,"",_xlfn.CONCAT(TRANSPOSE(_xlfn._xlws.FILTER(C22:G22,C24:G24&gt;$B$13)&amp;", ")))</f>
        <v/>
      </c>
      <c r="P24" t="s">
        <v>37</v>
      </c>
    </row>
    <row r="25" spans="1:16" x14ac:dyDescent="0.2">
      <c r="B25" s="14" t="str">
        <f>IF($O$25=0,"","Actual")</f>
        <v/>
      </c>
      <c r="C25" s="7">
        <f>MIN(C24,$B$13)</f>
        <v>0.29787253798337188</v>
      </c>
      <c r="D25" s="113">
        <f>MIN(D24,$B$13)</f>
        <v>0.29333963905309357</v>
      </c>
      <c r="E25" s="113">
        <f>MIN(E24,$B$13)</f>
        <v>0.28880674012281532</v>
      </c>
      <c r="F25" s="112">
        <f>MIN(F24,$B$13)</f>
        <v>0.25319165728586607</v>
      </c>
      <c r="G25" s="112">
        <f>MIN(G24,$B$13)</f>
        <v>0.20851077658836031</v>
      </c>
      <c r="J25" s="100"/>
      <c r="K25" s="100"/>
      <c r="L25" s="94"/>
      <c r="M25" s="94"/>
      <c r="O25">
        <f>COUNTIF(C24:G24,"&gt;"&amp;$B$13)</f>
        <v>0</v>
      </c>
      <c r="P25" t="s">
        <v>38</v>
      </c>
    </row>
    <row r="26" spans="1:16" x14ac:dyDescent="0.2">
      <c r="B26" s="2" t="s">
        <v>20</v>
      </c>
      <c r="C26" s="9">
        <f>B17</f>
        <v>0.93617083366202591</v>
      </c>
      <c r="D26" s="98">
        <f>C26</f>
        <v>0.93617083366202591</v>
      </c>
      <c r="E26" s="98">
        <f>D26</f>
        <v>0.93617083366202591</v>
      </c>
      <c r="F26" s="132">
        <f>E26</f>
        <v>0.93617083366202591</v>
      </c>
      <c r="G26" s="132">
        <f>F26</f>
        <v>0.93617083366202591</v>
      </c>
      <c r="J26" s="100"/>
      <c r="K26" s="100"/>
      <c r="L26" s="94"/>
      <c r="M26" s="94"/>
      <c r="O26">
        <f>IF(O25&gt;0,0,-9999999999)</f>
        <v>-9999999999</v>
      </c>
      <c r="P26" t="s">
        <v>39</v>
      </c>
    </row>
    <row r="27" spans="1:16" hidden="1" x14ac:dyDescent="0.2">
      <c r="B27" s="10" t="s">
        <v>31</v>
      </c>
      <c r="C27" s="11"/>
      <c r="D27" s="99"/>
      <c r="E27" s="99"/>
      <c r="F27" s="133"/>
      <c r="G27" s="133"/>
      <c r="J27" s="100"/>
      <c r="K27" s="100"/>
      <c r="L27" s="94"/>
      <c r="M27" s="94"/>
    </row>
    <row r="28" spans="1:16" hidden="1" x14ac:dyDescent="0.2">
      <c r="B28" s="10" t="s">
        <v>23</v>
      </c>
      <c r="C28" s="11">
        <f>($B$7+$B$8)*(4*C$26*$B$8+3*$B$7-3*C$26*$B$7)</f>
        <v>15.310177150702398</v>
      </c>
      <c r="D28" s="99">
        <f t="shared" ref="D28:G32" si="0">C28</f>
        <v>15.310177150702398</v>
      </c>
      <c r="E28" s="99">
        <f t="shared" si="0"/>
        <v>15.310177150702398</v>
      </c>
      <c r="F28" s="133">
        <f t="shared" si="0"/>
        <v>15.310177150702398</v>
      </c>
      <c r="G28" s="133">
        <f t="shared" si="0"/>
        <v>15.310177150702398</v>
      </c>
      <c r="J28" s="100"/>
      <c r="K28" s="100"/>
      <c r="L28" s="94"/>
      <c r="M28" s="94"/>
    </row>
    <row r="29" spans="1:16" hidden="1" x14ac:dyDescent="0.2">
      <c r="B29" s="10" t="s">
        <v>22</v>
      </c>
      <c r="C29" s="11">
        <f>8*$B$8*($B$7+$B$8)*(4*$B$8*$B$8*(2*$B$7-$B$8+(1+3*$B$8-2*$B$7)*C$26)+3*$B$7*($B$8-$B$7+C$26*$B$7+2*$B$7*$B$8)-C$26*$B$7*$B$8*(7+6*$B$7))</f>
        <v>-763.79137742528621</v>
      </c>
      <c r="D29" s="99">
        <f t="shared" si="0"/>
        <v>-763.79137742528621</v>
      </c>
      <c r="E29" s="99">
        <f t="shared" si="0"/>
        <v>-763.79137742528621</v>
      </c>
      <c r="F29" s="133">
        <f t="shared" si="0"/>
        <v>-763.79137742528621</v>
      </c>
      <c r="G29" s="133">
        <f t="shared" si="0"/>
        <v>-763.79137742528621</v>
      </c>
      <c r="J29" s="100"/>
      <c r="K29" s="100"/>
      <c r="L29" s="94"/>
      <c r="M29" s="94"/>
    </row>
    <row r="30" spans="1:16" hidden="1" x14ac:dyDescent="0.2">
      <c r="B30" s="10" t="s">
        <v>24</v>
      </c>
      <c r="C30" s="11">
        <f>(4*$B$8*($B$7+(2*$B$7-1)*$B$8))^2</f>
        <v>506.25</v>
      </c>
      <c r="D30" s="99">
        <f t="shared" si="0"/>
        <v>506.25</v>
      </c>
      <c r="E30" s="99">
        <f t="shared" si="0"/>
        <v>506.25</v>
      </c>
      <c r="F30" s="133">
        <f t="shared" si="0"/>
        <v>506.25</v>
      </c>
      <c r="G30" s="133">
        <f t="shared" si="0"/>
        <v>506.25</v>
      </c>
      <c r="J30" s="100"/>
      <c r="K30" s="100"/>
      <c r="L30" s="94"/>
      <c r="M30" s="94"/>
    </row>
    <row r="31" spans="1:16" hidden="1" x14ac:dyDescent="0.2">
      <c r="B31" s="10" t="s">
        <v>25</v>
      </c>
      <c r="C31" s="11">
        <f>4*$B$8*((4*$B$8+1)*$B$8+(2*$B$8-1)*$B$7)</f>
        <v>-72</v>
      </c>
      <c r="D31" s="99">
        <f t="shared" si="0"/>
        <v>-72</v>
      </c>
      <c r="E31" s="99">
        <f t="shared" si="0"/>
        <v>-72</v>
      </c>
      <c r="F31" s="133">
        <f t="shared" si="0"/>
        <v>-72</v>
      </c>
      <c r="G31" s="133">
        <f t="shared" si="0"/>
        <v>-72</v>
      </c>
      <c r="J31" s="100"/>
      <c r="K31" s="100"/>
      <c r="L31" s="94"/>
      <c r="M31" s="94"/>
    </row>
    <row r="32" spans="1:16" hidden="1" x14ac:dyDescent="0.2">
      <c r="B32" s="10" t="s">
        <v>28</v>
      </c>
      <c r="C32" s="11">
        <f>2*($B$8+1)*$B$7*$B$8/(($B$7+$B$8)*($B$7+$B$8))</f>
        <v>-0.24489795918367346</v>
      </c>
      <c r="D32" s="99">
        <f t="shared" si="0"/>
        <v>-0.24489795918367346</v>
      </c>
      <c r="E32" s="99">
        <f t="shared" si="0"/>
        <v>-0.24489795918367346</v>
      </c>
      <c r="F32" s="133">
        <f t="shared" si="0"/>
        <v>-0.24489795918367346</v>
      </c>
      <c r="G32" s="133">
        <f t="shared" si="0"/>
        <v>-0.24489795918367346</v>
      </c>
      <c r="J32" s="100"/>
      <c r="K32" s="100"/>
      <c r="L32" s="94"/>
      <c r="M32" s="94"/>
    </row>
    <row r="33" spans="2:13" x14ac:dyDescent="0.2">
      <c r="B33" s="2" t="s">
        <v>26</v>
      </c>
      <c r="C33">
        <f>(C$28+C$25*C$31+SQRT(C$28*C$28+C$29*C$25+C$30*C$25*C$25))*$B$7*($B$8+1)/(8*C$25*$B$8*$B$8*($B$7+$B$8)*($B$7+$B$8))</f>
        <v>1.6155469128320811E-2</v>
      </c>
      <c r="D33" s="100">
        <f>(D$28+D$25*D$31+SQRT(D$28*D$28+D$29*D$25+D$30*D$25*D$25))*$B$7*($B$8+1)/(8*D$25*$B$8*$B$8*($B$7+$B$8)*($B$7+$B$8))</f>
        <v>2.3689625067257577E-2</v>
      </c>
      <c r="E33" s="100">
        <f>(E$28+E$25*E$31+SQRT(E$28*E$28+E$29*E$25+E$30*E$25*E$25))*$B$7*($B$8+1)/(8*E$25*$B$8*$B$8*($B$7+$B$8)*($B$7+$B$8))</f>
        <v>3.143812018619415E-2</v>
      </c>
      <c r="F33" s="94">
        <f>(F$28+F$25*F$31+SQRT(F$28*F$28+F$29*F$25+F$30*F$25*F$25))*$B$7*($B$8+1)/(8*F$25*$B$8*$B$8*($B$7+$B$8)*($B$7+$B$8))</f>
        <v>0.1012348859214874</v>
      </c>
      <c r="G33" s="94">
        <f>(G$28+G$25*G$31+SQRT(G$28*G$28+G$29*G$25+G$30*G$25*G$25))*$B$7*($B$8+1)/(8*G$25*$B$8*$B$8*($B$7+$B$8)*($B$7+$B$8))</f>
        <v>0.22085174068630911</v>
      </c>
      <c r="J33" s="100"/>
      <c r="K33" s="100"/>
      <c r="L33" s="94"/>
      <c r="M33" s="94"/>
    </row>
    <row r="34" spans="2:13" x14ac:dyDescent="0.2">
      <c r="B34" s="20" t="s">
        <v>172</v>
      </c>
      <c r="C34" s="21"/>
      <c r="D34" s="101"/>
      <c r="E34" s="101"/>
      <c r="F34" s="95"/>
      <c r="G34" s="95"/>
      <c r="H34" s="21"/>
      <c r="I34" s="21"/>
      <c r="J34" s="101"/>
      <c r="K34" s="101"/>
      <c r="L34" s="95"/>
      <c r="M34" s="94"/>
    </row>
    <row r="35" spans="2:13" x14ac:dyDescent="0.2">
      <c r="B35" s="22" t="s">
        <v>171</v>
      </c>
      <c r="C35" s="23">
        <f>(C$33*$B$8/($B$7+$B$8)-C$32)/(C$33-C$32)</f>
        <v>0.97347756538446517</v>
      </c>
      <c r="D35" s="102">
        <f>(D33*$B$8/($B$7+$B$8)-D$32)/(D33-D$32)</f>
        <v>0.96219968065273331</v>
      </c>
      <c r="E35" s="102">
        <f>(E33*$B$8/($B$7+$B$8)-E$32)/(E33-E$32)</f>
        <v>0.95124241427134226</v>
      </c>
      <c r="F35" s="134">
        <f>(F33*$B$8/($B$7+$B$8)-F$32)/(F33-F$32)</f>
        <v>0.87465396510563476</v>
      </c>
      <c r="G35" s="134">
        <f>(G33*$B$8/($B$7+$B$8)-G$32)/(G33-G$32)</f>
        <v>0.79677765539120982</v>
      </c>
      <c r="H35" s="21"/>
      <c r="I35" s="79">
        <f t="shared" ref="I35:M38" si="1">C35/$C35-1</f>
        <v>0</v>
      </c>
      <c r="J35" s="115">
        <f t="shared" si="1"/>
        <v>-1.1585151145499406E-2</v>
      </c>
      <c r="K35" s="115">
        <f t="shared" si="1"/>
        <v>-2.2840948681073447E-2</v>
      </c>
      <c r="L35" s="124">
        <f t="shared" si="1"/>
        <v>-0.10151605316122625</v>
      </c>
      <c r="M35" s="124">
        <f t="shared" si="1"/>
        <v>-0.18151410600147677</v>
      </c>
    </row>
    <row r="36" spans="2:13" x14ac:dyDescent="0.2">
      <c r="B36" s="22" t="s">
        <v>29</v>
      </c>
      <c r="C36" s="23">
        <f>((C$33-C$32*($B$8+1)/$B$8)/(C$33-C$32))*$B$8/($B$8+1)</f>
        <v>1.1237713615391622</v>
      </c>
      <c r="D36" s="102">
        <f>((D$33-D$32*($B$8+1)/$B$8)/(D$33-D$32))*$B$8/($B$8+1)</f>
        <v>1.1764014902872448</v>
      </c>
      <c r="E36" s="102">
        <f>((E$33-E$32*($B$8+1)/$B$8)/(E$33-E$32))*$B$8/($B$8+1)</f>
        <v>1.2275354000670693</v>
      </c>
      <c r="F36" s="134">
        <f>((F$33-F$32*($B$8+1)/$B$8)/(F$33-F$32))*$B$8/($B$8+1)</f>
        <v>1.5849481628403719</v>
      </c>
      <c r="G36" s="134">
        <f>((G$33-G$32*($B$8+1)/$B$8)/(G$33-G$32))*$B$8/($B$8+1)</f>
        <v>1.9483709415076875</v>
      </c>
      <c r="H36" s="21"/>
      <c r="I36" s="79">
        <f t="shared" si="1"/>
        <v>0</v>
      </c>
      <c r="J36" s="115">
        <f t="shared" si="1"/>
        <v>4.6833484594231312E-2</v>
      </c>
      <c r="K36" s="115">
        <f t="shared" si="1"/>
        <v>9.2335542690630268E-2</v>
      </c>
      <c r="L36" s="124">
        <f t="shared" si="1"/>
        <v>0.41038312336911975</v>
      </c>
      <c r="M36" s="124">
        <f t="shared" si="1"/>
        <v>0.73377878115626705</v>
      </c>
    </row>
    <row r="37" spans="2:13" x14ac:dyDescent="0.2">
      <c r="B37" s="22" t="s">
        <v>30</v>
      </c>
      <c r="C37" s="23">
        <f>(C$33*$B$8/($B$8+1)-(2*$B$8*$B$8+$B$8-$B$7)*$B$7/(($B$7+$B$8)*($B$7+$B$8)))/(C$33-C$32)</f>
        <v>2.7654714201923949</v>
      </c>
      <c r="D37" s="102">
        <f>(D$33*$B$8/($B$8+1)-(2*$B$8*$B$8+$B$8-$B$7)*$B$7/(($B$7+$B$8)*($B$7+$B$8)))/(D$33-D$32)</f>
        <v>2.7720501862859055</v>
      </c>
      <c r="E37" s="102">
        <f>(E$33*$B$8/($B$8+1)-(2*$B$8*$B$8+$B$8-$B$7)*$B$7/(($B$7+$B$8)*($B$7+$B$8)))/(E$33-E$32)</f>
        <v>2.7784419250083836</v>
      </c>
      <c r="F37" s="134">
        <f>(F$33*$B$8/($B$8+1)-(2*$B$8*$B$8+$B$8-$B$7)*$B$7/(($B$7+$B$8)*($B$7+$B$8)))/(F$33-F$32)</f>
        <v>2.8231185203550466</v>
      </c>
      <c r="G37" s="134">
        <f>(G$33*$B$8/($B$8+1)-(2*$B$8*$B$8+$B$8-$B$7)*$B$7/(($B$7+$B$8)*($B$7+$B$8)))/(G$33-G$32)</f>
        <v>2.8685463676884608</v>
      </c>
      <c r="H37" s="21"/>
      <c r="I37" s="79">
        <f t="shared" si="1"/>
        <v>0</v>
      </c>
      <c r="J37" s="115">
        <f t="shared" si="1"/>
        <v>2.3788949853087438E-3</v>
      </c>
      <c r="K37" s="115">
        <f t="shared" si="1"/>
        <v>4.6901604989597612E-3</v>
      </c>
      <c r="L37" s="124">
        <f t="shared" si="1"/>
        <v>2.0845306786298812E-2</v>
      </c>
      <c r="M37" s="124">
        <f t="shared" si="1"/>
        <v>3.7272107295505785E-2</v>
      </c>
    </row>
    <row r="38" spans="2:13" x14ac:dyDescent="0.2">
      <c r="B38" s="22" t="s">
        <v>33</v>
      </c>
      <c r="C38" s="23">
        <f>(1-C$25)*C$37</f>
        <v>1.9417134295392064</v>
      </c>
      <c r="D38" s="102">
        <f>(1-D$25)*D$37</f>
        <v>1.9588979852037371</v>
      </c>
      <c r="E38" s="102">
        <f>(1-E$25)*E$37</f>
        <v>1.9760091700261524</v>
      </c>
      <c r="F38" s="134">
        <f>(1-F$25)*F$37</f>
        <v>2.1083284634719304</v>
      </c>
      <c r="G38" s="134">
        <f>(1-G$25)*G$37</f>
        <v>2.2704235368820198</v>
      </c>
      <c r="H38" s="21"/>
      <c r="I38" s="79">
        <f t="shared" si="1"/>
        <v>0</v>
      </c>
      <c r="J38" s="115">
        <f t="shared" si="1"/>
        <v>8.8502017872991168E-3</v>
      </c>
      <c r="K38" s="115">
        <f t="shared" si="1"/>
        <v>1.7662616926476415E-2</v>
      </c>
      <c r="L38" s="124">
        <f t="shared" si="1"/>
        <v>8.580825130939318E-2</v>
      </c>
      <c r="M38" s="124">
        <f t="shared" si="1"/>
        <v>0.16928868201772729</v>
      </c>
    </row>
    <row r="39" spans="2:13" x14ac:dyDescent="0.2">
      <c r="B39" s="18" t="s">
        <v>175</v>
      </c>
      <c r="D39" s="100"/>
      <c r="E39" s="100"/>
      <c r="F39" s="94"/>
      <c r="G39" s="94"/>
      <c r="J39" s="100"/>
      <c r="K39" s="100"/>
      <c r="L39" s="94"/>
      <c r="M39" s="94"/>
    </row>
    <row r="40" spans="2:13" x14ac:dyDescent="0.2">
      <c r="B40" s="2" t="s">
        <v>164</v>
      </c>
      <c r="C40" s="12">
        <f>2*C$35*C$38</f>
        <v>3.7804289241242941</v>
      </c>
      <c r="D40" s="103">
        <f>2*D$35*D$38</f>
        <v>3.7697020315886371</v>
      </c>
      <c r="E40" s="103">
        <f>2*E$35*E$38</f>
        <v>3.7593274670359769</v>
      </c>
      <c r="F40" s="135">
        <f>2*F$35*F$38</f>
        <v>3.6881157006415886</v>
      </c>
      <c r="G40" s="135">
        <f>2*G$35*G$38</f>
        <v>3.6180454849237473</v>
      </c>
      <c r="I40" s="3">
        <f>C40/$C40-1</f>
        <v>0</v>
      </c>
      <c r="J40" s="116">
        <f>D40/$C40-1</f>
        <v>-2.837480283574334E-3</v>
      </c>
      <c r="K40" s="116">
        <f>E40/$C40-1</f>
        <v>-5.5817626813881027E-3</v>
      </c>
      <c r="L40" s="125">
        <f>F40/$C40-1</f>
        <v>-2.4418716853429334E-2</v>
      </c>
      <c r="M40" s="125">
        <f>G40/$C40-1</f>
        <v>-4.2953707756365644E-2</v>
      </c>
    </row>
    <row r="41" spans="2:13" x14ac:dyDescent="0.2">
      <c r="B41" s="2" t="s">
        <v>34</v>
      </c>
      <c r="C41" s="12">
        <f>C$33*(C$37-C$36)^2</f>
        <v>4.3541882463949952E-2</v>
      </c>
      <c r="D41" s="103">
        <f>D$33*(D$37-D$36)^2</f>
        <v>6.0316030274799114E-2</v>
      </c>
      <c r="E41" s="103">
        <f>E$33*(E$37-E$36)^2</f>
        <v>7.5618457846960807E-2</v>
      </c>
      <c r="F41" s="135">
        <f>F$33*(F$37-F$36)^2</f>
        <v>0.15519974483820326</v>
      </c>
      <c r="G41" s="135">
        <f>G$33*(G$37-G$36)^2</f>
        <v>0.18700020755984942</v>
      </c>
      <c r="I41" s="3">
        <f>IF($C41&lt;0.000001,"",C41/$C41-1)</f>
        <v>0</v>
      </c>
      <c r="J41" s="116">
        <f>IF($C41&lt;0.000001,"",D41/$C41-1)</f>
        <v>0.38524167678641685</v>
      </c>
      <c r="K41" s="116">
        <f>IF($C41&lt;0.000001,"",E41/$C41-1)</f>
        <v>0.73668324766547055</v>
      </c>
      <c r="L41" s="125">
        <f>IF($C41&lt;0.000001,"",F41/$C41-1)</f>
        <v>2.5643783882495037</v>
      </c>
      <c r="M41" s="125">
        <f>IF($C41&lt;0.000001,"",G41/$C41-1)</f>
        <v>3.2947203239243112</v>
      </c>
    </row>
    <row r="42" spans="2:13" x14ac:dyDescent="0.2">
      <c r="B42" s="2" t="s">
        <v>35</v>
      </c>
      <c r="C42" s="12">
        <f>SUM(C40:C41)</f>
        <v>3.8239708065882438</v>
      </c>
      <c r="D42" s="103">
        <f>SUM(D40:D41)</f>
        <v>3.8300180618634361</v>
      </c>
      <c r="E42" s="103">
        <f>SUM(E40:E41)</f>
        <v>3.8349459248829376</v>
      </c>
      <c r="F42" s="135">
        <f>SUM(F40:F41)</f>
        <v>3.8433154454797918</v>
      </c>
      <c r="G42" s="135">
        <f>SUM(G40:G41)</f>
        <v>3.8050456924835969</v>
      </c>
      <c r="I42" s="3">
        <f>C42/$C42-1</f>
        <v>0</v>
      </c>
      <c r="J42" s="116">
        <f>D42/$C42-1</f>
        <v>1.5814072808226776E-3</v>
      </c>
      <c r="K42" s="116">
        <f>E42/$C42-1</f>
        <v>2.8700842265283466E-3</v>
      </c>
      <c r="L42" s="125">
        <f>F42/$C42-1</f>
        <v>5.0587831000747929E-3</v>
      </c>
      <c r="M42" s="125">
        <f>G42/$C42-1</f>
        <v>-4.9490738977507887E-3</v>
      </c>
    </row>
    <row r="43" spans="2:13" x14ac:dyDescent="0.2">
      <c r="B43" s="87" t="s">
        <v>176</v>
      </c>
      <c r="C43" s="12"/>
      <c r="D43" s="103"/>
      <c r="E43" s="103"/>
      <c r="F43" s="135"/>
      <c r="G43" s="135"/>
      <c r="I43" s="80"/>
      <c r="J43" s="116"/>
      <c r="K43" s="116"/>
      <c r="L43" s="125"/>
      <c r="M43" s="125"/>
    </row>
    <row r="44" spans="2:13" x14ac:dyDescent="0.2">
      <c r="B44" s="83" t="s">
        <v>190</v>
      </c>
      <c r="C44" s="84">
        <f>PartD!$C$36</f>
        <v>1.8957990530143249</v>
      </c>
      <c r="D44" s="104">
        <f>(D$36-$C$36)*BackgroundInfo1!$B$15*BackgroundInfo1!$B$11/Pharmacy!$C$38+Pharmacy!$C$44</f>
        <v>1.8983206195279858</v>
      </c>
      <c r="E44" s="104">
        <f>(E$36-$C$36)*BackgroundInfo1!$B$15*BackgroundInfo1!$B$11/Pharmacy!$C$38+Pharmacy!$C$44</f>
        <v>1.9007705005691387</v>
      </c>
      <c r="F44" s="136">
        <f>(F$36-$C$36)*BackgroundInfo1!$B$15*BackgroundInfo1!$B$11/Pharmacy!$C$38+Pharmacy!$C$44</f>
        <v>1.9178945334302027</v>
      </c>
      <c r="G44" s="136">
        <f>(G$36-$C$36)*BackgroundInfo1!$B$15*BackgroundInfo1!$B$11/Pharmacy!$C$38+Pharmacy!$C$44</f>
        <v>1.9353065126669531</v>
      </c>
      <c r="H44" s="85"/>
      <c r="I44" s="86">
        <f t="shared" ref="I44:M44" si="2">C44/$C44-1</f>
        <v>0</v>
      </c>
      <c r="J44" s="117">
        <f t="shared" si="2"/>
        <v>1.3300811125798173E-3</v>
      </c>
      <c r="K44" s="117">
        <f t="shared" si="2"/>
        <v>2.622349424064252E-3</v>
      </c>
      <c r="L44" s="126">
        <f t="shared" si="2"/>
        <v>1.1654969644987245E-2</v>
      </c>
      <c r="M44" s="126">
        <f t="shared" si="2"/>
        <v>2.0839476414871605E-2</v>
      </c>
    </row>
    <row r="45" spans="2:13" x14ac:dyDescent="0.2">
      <c r="B45" s="81" t="s">
        <v>177</v>
      </c>
      <c r="C45" s="27">
        <f>PartD!$C$42</f>
        <v>18.946118761159624</v>
      </c>
      <c r="D45" s="105">
        <f>$C$45*(D$44/$C$44)^PartD!$B$7</f>
        <v>18.933531379087672</v>
      </c>
      <c r="E45" s="105">
        <f>$C$45*(E$44/$C$44)^PartD!$B$7</f>
        <v>18.921325840482858</v>
      </c>
      <c r="F45" s="137">
        <f>$C$45*(F$44/$C$44)^PartD!$B$7</f>
        <v>18.836666366027607</v>
      </c>
      <c r="G45" s="137">
        <f>$C$45*(G$44/$C$44)^PartD!$B$7</f>
        <v>18.751738036264658</v>
      </c>
      <c r="H45" s="28"/>
      <c r="I45" s="82">
        <f>I$35*(1-BackgroundInfo1!$B$5)*Pharmacy!$B$18</f>
        <v>0</v>
      </c>
      <c r="J45" s="118">
        <f t="shared" ref="J45:M47" si="3">D45/$C45-1</f>
        <v>-6.6437787235651413E-4</v>
      </c>
      <c r="K45" s="118">
        <f t="shared" si="3"/>
        <v>-1.3086015658042571E-3</v>
      </c>
      <c r="L45" s="127">
        <f t="shared" si="3"/>
        <v>-5.7770352076753628E-3</v>
      </c>
      <c r="M45" s="127">
        <f t="shared" si="3"/>
        <v>-1.0259659371156027E-2</v>
      </c>
    </row>
    <row r="46" spans="2:13" x14ac:dyDescent="0.2">
      <c r="B46" s="81" t="s">
        <v>178</v>
      </c>
      <c r="C46" s="27">
        <f>PartD!$C$47/PartD!$C$42</f>
        <v>1.2442914129113134</v>
      </c>
      <c r="D46" s="105">
        <f>C46</f>
        <v>1.2442914129113134</v>
      </c>
      <c r="E46" s="105">
        <f>D46</f>
        <v>1.2442914129113134</v>
      </c>
      <c r="F46" s="137">
        <f>E46</f>
        <v>1.2442914129113134</v>
      </c>
      <c r="G46" s="137">
        <f>F46</f>
        <v>1.2442914129113134</v>
      </c>
      <c r="H46" s="21"/>
      <c r="I46" s="82">
        <f>I$35*(1-BackgroundInfo1!$B$5)*Pharmacy!$B$18</f>
        <v>0</v>
      </c>
      <c r="J46" s="118">
        <f t="shared" si="3"/>
        <v>0</v>
      </c>
      <c r="K46" s="118">
        <f t="shared" si="3"/>
        <v>0</v>
      </c>
      <c r="L46" s="127">
        <f t="shared" si="3"/>
        <v>0</v>
      </c>
      <c r="M46" s="127">
        <f t="shared" si="3"/>
        <v>0</v>
      </c>
    </row>
    <row r="47" spans="2:13" x14ac:dyDescent="0.2">
      <c r="B47" s="81" t="s">
        <v>179</v>
      </c>
      <c r="C47" s="27">
        <f>C45*C46</f>
        <v>23.574492882508853</v>
      </c>
      <c r="D47" s="105">
        <f>D45*D46</f>
        <v>23.558830511085688</v>
      </c>
      <c r="E47" s="105">
        <f>E45*E46</f>
        <v>23.543643264209759</v>
      </c>
      <c r="F47" s="137">
        <f>F45*F46</f>
        <v>23.438302207123506</v>
      </c>
      <c r="G47" s="137">
        <f>G45*G46</f>
        <v>23.332626615686568</v>
      </c>
      <c r="H47" s="21"/>
      <c r="I47" s="82">
        <f>I$35*(1-BackgroundInfo1!$B$5)*Pharmacy!$B$18</f>
        <v>0</v>
      </c>
      <c r="J47" s="118">
        <f t="shared" si="3"/>
        <v>-6.6437787235651413E-4</v>
      </c>
      <c r="K47" s="118">
        <f t="shared" si="3"/>
        <v>-1.3086015658042571E-3</v>
      </c>
      <c r="L47" s="127">
        <f t="shared" si="3"/>
        <v>-5.7770352076753628E-3</v>
      </c>
      <c r="M47" s="127">
        <f t="shared" si="3"/>
        <v>-1.0259659371156138E-2</v>
      </c>
    </row>
    <row r="48" spans="2:13" x14ac:dyDescent="0.2">
      <c r="B48" s="18" t="s">
        <v>183</v>
      </c>
      <c r="C48" s="27"/>
      <c r="D48" s="105"/>
      <c r="E48" s="105"/>
      <c r="F48" s="137"/>
      <c r="G48" s="137"/>
      <c r="H48" s="21"/>
      <c r="I48" s="82"/>
      <c r="J48" s="118"/>
      <c r="K48" s="118"/>
      <c r="L48" s="127"/>
      <c r="M48" s="127"/>
    </row>
    <row r="49" spans="2:13" x14ac:dyDescent="0.2">
      <c r="B49" s="88" t="s">
        <v>181</v>
      </c>
      <c r="C49" s="89">
        <f>C$47+C$42*$C$47*(BackgroundInfo1!$B$11/(1-BackgroundInfo1!$B$11))/$C$42</f>
        <v>27.734697508833946</v>
      </c>
      <c r="D49" s="106">
        <f>D$47+D$42*$C$47*(BackgroundInfo1!$B$11/(1-BackgroundInfo1!$B$11))/$C$42</f>
        <v>27.725614115296562</v>
      </c>
      <c r="E49" s="106">
        <f>E$47+E$42*$C$47*(BackgroundInfo1!$B$11/(1-BackgroundInfo1!$B$11))/$C$42</f>
        <v>27.715788028211996</v>
      </c>
      <c r="F49" s="138">
        <f>F$47+F$42*$C$47*(BackgroundInfo1!$B$11/(1-BackgroundInfo1!$B$11))/$C$42</f>
        <v>27.619552406305104</v>
      </c>
      <c r="G49" s="138">
        <f>G$47+G$42*$C$47*(BackgroundInfo1!$B$11/(1-BackgroundInfo1!$B$11))/$C$42</f>
        <v>27.472242081886211</v>
      </c>
      <c r="H49" s="90"/>
      <c r="I49" s="91">
        <f>I$35*(1-BackgroundInfo1!$B$5)*Pharmacy!$B$18</f>
        <v>0</v>
      </c>
      <c r="J49" s="119">
        <f t="shared" ref="J49:M53" si="4">D49/$C49-1</f>
        <v>-3.2751009937970199E-4</v>
      </c>
      <c r="K49" s="119">
        <f t="shared" si="4"/>
        <v>-6.8179869695450535E-4</v>
      </c>
      <c r="L49" s="128">
        <f t="shared" si="4"/>
        <v>-4.1516624615129949E-3</v>
      </c>
      <c r="M49" s="128">
        <f t="shared" si="4"/>
        <v>-9.4630715501453633E-3</v>
      </c>
    </row>
    <row r="50" spans="2:13" x14ac:dyDescent="0.2">
      <c r="B50" s="88" t="s">
        <v>184</v>
      </c>
      <c r="C50" s="89">
        <f>(C$24/(1-C$24))*C$42*$C$47*(BackgroundInfo1!$B$11/(1-BackgroundInfo1!$B$11))/$C$40</f>
        <v>1.7852649945572754</v>
      </c>
      <c r="D50" s="106">
        <f>(D$24/(1-D$24))*D$42*$C$47*(BackgroundInfo1!$B$11/(1-BackgroundInfo1!$B$11))/$C$40</f>
        <v>1.749582635597914</v>
      </c>
      <c r="E50" s="106">
        <f>(E$24/(1-E$24))*E$42*$C$47*(BackgroundInfo1!$B$11/(1-BackgroundInfo1!$B$11))/$C$40</f>
        <v>1.7137700636451911</v>
      </c>
      <c r="F50" s="138">
        <f>(F$24/(1-F$24))*F$42*$C$47*(BackgroundInfo1!$B$11/(1-BackgroundInfo1!$B$11))/$C$40</f>
        <v>1.4339033427667858</v>
      </c>
      <c r="G50" s="138">
        <f>(G$24/(1-G$24))*G$42*$C$47*(BackgroundInfo1!$B$11/(1-BackgroundInfo1!$B$11))/$C$40</f>
        <v>1.1031053511882438</v>
      </c>
      <c r="H50" s="90"/>
      <c r="I50" s="91">
        <f>I$35*(1-BackgroundInfo1!$B$5)*Pharmacy!$B$18</f>
        <v>0</v>
      </c>
      <c r="J50" s="119">
        <f t="shared" si="4"/>
        <v>-1.9987149845062668E-2</v>
      </c>
      <c r="K50" s="119">
        <f t="shared" si="4"/>
        <v>-4.0047237317737294E-2</v>
      </c>
      <c r="L50" s="128">
        <f t="shared" si="4"/>
        <v>-0.19681204351269044</v>
      </c>
      <c r="M50" s="128">
        <f t="shared" si="4"/>
        <v>-0.38210553920495094</v>
      </c>
    </row>
    <row r="51" spans="2:13" x14ac:dyDescent="0.2">
      <c r="B51" s="88" t="s">
        <v>185</v>
      </c>
      <c r="C51" s="89">
        <f>BackgroundInfo1!$B$8*C$49</f>
        <v>7.7457263312959661</v>
      </c>
      <c r="D51" s="106">
        <f>BackgroundInfo1!$B$8*D$49</f>
        <v>7.7431895276954359</v>
      </c>
      <c r="E51" s="106">
        <f>BackgroundInfo1!$B$8*E$49</f>
        <v>7.7404453051763227</v>
      </c>
      <c r="F51" s="138">
        <f>BackgroundInfo1!$B$8*F$49</f>
        <v>7.7135686900491729</v>
      </c>
      <c r="G51" s="138">
        <f>BackgroundInfo1!$B$8*G$49</f>
        <v>7.6724279688150672</v>
      </c>
      <c r="H51" s="90"/>
      <c r="I51" s="91">
        <f>I$35*(1-BackgroundInfo1!$B$5)*Pharmacy!$B$18</f>
        <v>0</v>
      </c>
      <c r="J51" s="119">
        <f t="shared" si="4"/>
        <v>-3.2751009937959097E-4</v>
      </c>
      <c r="K51" s="119">
        <f t="shared" si="4"/>
        <v>-6.8179869695450535E-4</v>
      </c>
      <c r="L51" s="128">
        <f t="shared" si="4"/>
        <v>-4.1516624615128839E-3</v>
      </c>
      <c r="M51" s="128">
        <f t="shared" si="4"/>
        <v>-9.4630715501453633E-3</v>
      </c>
    </row>
    <row r="52" spans="2:13" x14ac:dyDescent="0.2">
      <c r="B52" s="92" t="s">
        <v>182</v>
      </c>
      <c r="C52" s="89">
        <f>SUM(C49:C51)</f>
        <v>37.265688834687182</v>
      </c>
      <c r="D52" s="106">
        <f>SUM(D49:D51)</f>
        <v>37.218386278589911</v>
      </c>
      <c r="E52" s="106">
        <f>SUM(E49:E51)</f>
        <v>37.170003397033511</v>
      </c>
      <c r="F52" s="138">
        <f>SUM(F49:F51)</f>
        <v>36.767024439121066</v>
      </c>
      <c r="G52" s="138">
        <f>SUM(G49:G51)</f>
        <v>36.24777540188952</v>
      </c>
      <c r="H52" s="90"/>
      <c r="I52" s="91">
        <f>I$35*(1-BackgroundInfo1!$B$5)*Pharmacy!$B$18</f>
        <v>0</v>
      </c>
      <c r="J52" s="119">
        <f t="shared" si="4"/>
        <v>-1.2693326643473668E-3</v>
      </c>
      <c r="K52" s="119">
        <f t="shared" si="4"/>
        <v>-2.5676551446059959E-3</v>
      </c>
      <c r="L52" s="128">
        <f t="shared" si="4"/>
        <v>-1.3381327734963477E-2</v>
      </c>
      <c r="M52" s="128">
        <f t="shared" si="4"/>
        <v>-2.7315030652276029E-2</v>
      </c>
    </row>
    <row r="53" spans="2:13" x14ac:dyDescent="0.2">
      <c r="B53" s="92" t="s">
        <v>81</v>
      </c>
      <c r="C53" s="89">
        <f>C$52*BackgroundInfo1!$C$40</f>
        <v>3.7806238018998233</v>
      </c>
      <c r="D53" s="106">
        <f>(D$52-D$50)*BackgroundInfo1!$C$40</f>
        <v>3.5983288507682389</v>
      </c>
      <c r="E53" s="106">
        <f>(E$52-E$50)*BackgroundInfo1!$C$40</f>
        <v>3.5970535862240696</v>
      </c>
      <c r="F53" s="138">
        <f>F$52*BackgroundInfo1!$C$40-F$50</f>
        <v>2.2961306929972132</v>
      </c>
      <c r="G53" s="138">
        <f>G$52*BackgroundInfo1!$C$40-G$50</f>
        <v>2.5742505956779613</v>
      </c>
      <c r="H53" s="90"/>
      <c r="I53" s="93">
        <f>C53/$C53-1</f>
        <v>0</v>
      </c>
      <c r="J53" s="119">
        <f t="shared" si="4"/>
        <v>-4.8218220241849519E-2</v>
      </c>
      <c r="K53" s="119">
        <f t="shared" si="4"/>
        <v>-4.8555536148163325E-2</v>
      </c>
      <c r="L53" s="128">
        <f t="shared" si="4"/>
        <v>-0.39265824548759087</v>
      </c>
      <c r="M53" s="128">
        <f t="shared" si="4"/>
        <v>-0.31909369179119074</v>
      </c>
    </row>
    <row r="54" spans="2:13" x14ac:dyDescent="0.2">
      <c r="B54" s="31" t="s">
        <v>126</v>
      </c>
      <c r="C54" s="32">
        <f>C49-C53</f>
        <v>23.954073706934125</v>
      </c>
      <c r="D54" s="108">
        <f>D49-D53</f>
        <v>24.127285264528322</v>
      </c>
      <c r="E54" s="108">
        <f>E49-E53</f>
        <v>24.118734441987925</v>
      </c>
      <c r="F54" s="139">
        <f>F49-F53</f>
        <v>25.323421713307891</v>
      </c>
      <c r="G54" s="139">
        <f>G49-G53</f>
        <v>24.897991486208248</v>
      </c>
      <c r="H54" s="33"/>
      <c r="I54" s="34">
        <f t="shared" ref="I54:M54" si="5">C54/$C54-1</f>
        <v>0</v>
      </c>
      <c r="J54" s="120">
        <f t="shared" si="5"/>
        <v>7.230985414562463E-3</v>
      </c>
      <c r="K54" s="120">
        <f t="shared" si="5"/>
        <v>6.8740180508894966E-3</v>
      </c>
      <c r="L54" s="129">
        <f t="shared" si="5"/>
        <v>5.7165558690644547E-2</v>
      </c>
      <c r="M54" s="129">
        <f t="shared" si="5"/>
        <v>3.9405313301715372E-2</v>
      </c>
    </row>
    <row r="55" spans="2:13" x14ac:dyDescent="0.2">
      <c r="B55" s="31"/>
      <c r="C55" s="32"/>
      <c r="D55" s="107"/>
      <c r="E55" s="108"/>
      <c r="F55" s="139"/>
      <c r="G55" s="139"/>
      <c r="H55" s="33"/>
      <c r="I55" s="58"/>
      <c r="J55" s="120"/>
      <c r="K55" s="120"/>
      <c r="L55" s="129"/>
      <c r="M55" s="129"/>
    </row>
    <row r="56" spans="2:13" x14ac:dyDescent="0.2">
      <c r="D56" s="107"/>
      <c r="E56" s="100"/>
      <c r="F56" s="94"/>
      <c r="G56" s="94"/>
      <c r="I56" s="205" t="s">
        <v>186</v>
      </c>
      <c r="J56" s="205"/>
      <c r="K56" s="205"/>
      <c r="L56" s="205"/>
      <c r="M56" s="205"/>
    </row>
    <row r="57" spans="2:13" x14ac:dyDescent="0.2">
      <c r="B57" s="2" t="s">
        <v>188</v>
      </c>
      <c r="C57" s="12">
        <f>C$35*(($B$8+$B$7)*C$35+2*$B$8*($B$7-1))/($B$7*($B$8+1))-2*C$35-C$41</f>
        <v>4.6198420663590181</v>
      </c>
      <c r="D57" s="103">
        <f>D$35*(($B$8+$B$7)*D$35+2*$B$8*($B$7-1))/($B$7*($B$8+1))-2*D$35-D$41</f>
        <v>4.5996826037256762</v>
      </c>
      <c r="E57" s="103">
        <f>E$35*(($B$8+$B$7)*E$35+2*$B$8*($B$7-1))/($B$7*($B$8+1))-2*E$35-E$41</f>
        <v>4.579954132044632</v>
      </c>
      <c r="F57" s="135">
        <f>F$35*(($B$8+$B$7)*F$35+2*$B$8*($B$7-1))/($B$7*($B$8+1))-2*F$35-F$41</f>
        <v>4.4381459889976798</v>
      </c>
      <c r="G57" s="135">
        <f>G$35*(($B$8+$B$7)*G$35+2*$B$8*($B$7-1))/($B$7*($B$8+1))-2*G$35-G$41</f>
        <v>4.2869362928147803</v>
      </c>
      <c r="I57" s="3">
        <f t="shared" ref="I57:M60" si="6">(C57-$C57)/$C$50</f>
        <v>0</v>
      </c>
      <c r="J57" s="116">
        <f t="shared" si="6"/>
        <v>-1.1292140211566297E-2</v>
      </c>
      <c r="K57" s="116">
        <f t="shared" si="6"/>
        <v>-2.2342864748926432E-2</v>
      </c>
      <c r="L57" s="125">
        <f t="shared" si="6"/>
        <v>-0.10177541032579132</v>
      </c>
      <c r="M57" s="125">
        <f t="shared" si="6"/>
        <v>-0.18647415064943593</v>
      </c>
    </row>
    <row r="58" spans="2:13" x14ac:dyDescent="0.2">
      <c r="B58" s="2" t="s">
        <v>187</v>
      </c>
      <c r="C58" s="12">
        <f>(C$38-1)*2*C$35</f>
        <v>1.8334737933553635</v>
      </c>
      <c r="D58" s="103">
        <f>(D$38-1)*2*D$35</f>
        <v>1.8453026702831705</v>
      </c>
      <c r="E58" s="103">
        <f>(E$38-1)*2*E$35</f>
        <v>1.8568426384932923</v>
      </c>
      <c r="F58" s="135">
        <f>(F$38-1)*2*F$35</f>
        <v>1.938807770430319</v>
      </c>
      <c r="G58" s="135">
        <f>(G$38-1)*2*G$35</f>
        <v>2.0244901741413277</v>
      </c>
      <c r="I58" s="3">
        <f t="shared" si="6"/>
        <v>0</v>
      </c>
      <c r="J58" s="116">
        <f t="shared" si="6"/>
        <v>6.6258381606481946E-3</v>
      </c>
      <c r="K58" s="116">
        <f t="shared" si="6"/>
        <v>1.3089846722572412E-2</v>
      </c>
      <c r="L58" s="125">
        <f t="shared" si="6"/>
        <v>5.9001872212857166E-2</v>
      </c>
      <c r="M58" s="125">
        <f t="shared" si="6"/>
        <v>0.106996093783452</v>
      </c>
    </row>
    <row r="59" spans="2:13" x14ac:dyDescent="0.2">
      <c r="B59" s="2" t="s">
        <v>53</v>
      </c>
      <c r="C59" s="12">
        <f>C57-C58</f>
        <v>2.7863682730036547</v>
      </c>
      <c r="D59" s="103">
        <f>D57-D58</f>
        <v>2.7543799334425056</v>
      </c>
      <c r="E59" s="103">
        <f>E57-E58</f>
        <v>2.7231114935513396</v>
      </c>
      <c r="F59" s="135">
        <f>F57-F58</f>
        <v>2.4993382185673605</v>
      </c>
      <c r="G59" s="135">
        <f>G57-G58</f>
        <v>2.2624461186734526</v>
      </c>
      <c r="I59" s="3">
        <f t="shared" si="6"/>
        <v>0</v>
      </c>
      <c r="J59" s="116">
        <f t="shared" si="6"/>
        <v>-1.7917978372214614E-2</v>
      </c>
      <c r="K59" s="116">
        <f t="shared" si="6"/>
        <v>-3.543271147149897E-2</v>
      </c>
      <c r="L59" s="125">
        <f t="shared" si="6"/>
        <v>-0.16077728253864873</v>
      </c>
      <c r="M59" s="125">
        <f t="shared" si="6"/>
        <v>-0.29347024443288805</v>
      </c>
    </row>
    <row r="60" spans="2:13" x14ac:dyDescent="0.2">
      <c r="B60" s="2" t="s">
        <v>189</v>
      </c>
      <c r="C60" s="12">
        <f>(C$46-1)*C$45</f>
        <v>4.6283741213492275</v>
      </c>
      <c r="D60" s="103">
        <f>(D$46-1)*D$45</f>
        <v>4.6252991319980152</v>
      </c>
      <c r="E60" s="103">
        <f>(E$46-1)*E$45</f>
        <v>4.6223174237269022</v>
      </c>
      <c r="F60" s="135">
        <f>(F$46-1)*F$45</f>
        <v>4.6016358410958995</v>
      </c>
      <c r="G60" s="135">
        <f>(G$46-1)*G$45</f>
        <v>4.5808885794219103</v>
      </c>
      <c r="I60" s="3">
        <f t="shared" si="6"/>
        <v>0</v>
      </c>
      <c r="J60" s="116">
        <f t="shared" si="6"/>
        <v>-1.7224274046637375E-3</v>
      </c>
      <c r="K60" s="116">
        <f t="shared" si="6"/>
        <v>-3.3926042580739064E-3</v>
      </c>
      <c r="L60" s="125">
        <f t="shared" si="6"/>
        <v>-1.4977205252354598E-2</v>
      </c>
      <c r="M60" s="125">
        <f t="shared" si="6"/>
        <v>-2.6598595767063193E-2</v>
      </c>
    </row>
    <row r="61" spans="2:13" x14ac:dyDescent="0.2">
      <c r="B61" s="2" t="s">
        <v>191</v>
      </c>
      <c r="C61" s="12">
        <f>PartD!$C$38*Pharmacy!C$45*(1-BackgroundInfo1!$B$5)</f>
        <v>6.3697968590614318</v>
      </c>
      <c r="D61" s="103">
        <f>PartD!$C$38*Pharmacy!D$45*(1-BackgroundInfo1!$B$5)</f>
        <v>6.3655649069768652</v>
      </c>
      <c r="E61" s="103">
        <f>PartD!$C$38*Pharmacy!E$45*(1-BackgroundInfo1!$B$5)</f>
        <v>6.3614613329178091</v>
      </c>
      <c r="F61" s="135">
        <f>PartD!$C$38*Pharmacy!F$45*(1-BackgroundInfo1!$B$5)</f>
        <v>6.332998318340894</v>
      </c>
      <c r="G61" s="135">
        <f>PartD!$C$38*Pharmacy!G$45*(1-BackgroundInfo1!$B$5)</f>
        <v>6.3044449130240015</v>
      </c>
      <c r="I61" s="3"/>
      <c r="J61" s="116"/>
      <c r="K61" s="116"/>
      <c r="L61" s="125"/>
      <c r="M61" s="125"/>
    </row>
    <row r="62" spans="2:13" x14ac:dyDescent="0.2">
      <c r="B62" s="55" t="s">
        <v>117</v>
      </c>
      <c r="C62" s="48"/>
      <c r="D62" s="109"/>
      <c r="E62" s="109"/>
      <c r="F62" s="97"/>
      <c r="G62" s="97"/>
      <c r="H62" s="48"/>
      <c r="I62" s="50">
        <f>I45*BenefitParams!$B$21/BackgroundInfo1!$B$20</f>
        <v>0</v>
      </c>
      <c r="J62" s="121">
        <f>J45*BenefitParams!$B$21/BackgroundInfo1!$B$20</f>
        <v>-7.3857041404137578E-3</v>
      </c>
      <c r="K62" s="121">
        <f>K45*BenefitParams!$B$21/BackgroundInfo1!$B$20</f>
        <v>-1.4547359875835974E-2</v>
      </c>
      <c r="L62" s="130">
        <f>L45*BenefitParams!$B$21/BackgroundInfo1!$B$21</f>
        <v>-6.4221694652930941E-2</v>
      </c>
      <c r="M62" s="130">
        <f>M45*BenefitParams!$B$21/BackgroundInfo1!$B$21</f>
        <v>-0.11405378151444528</v>
      </c>
    </row>
    <row r="63" spans="2:13" x14ac:dyDescent="0.2">
      <c r="B63" s="47" t="s">
        <v>131</v>
      </c>
      <c r="C63" s="48"/>
      <c r="D63" s="109"/>
      <c r="E63" s="109"/>
      <c r="F63" s="97"/>
      <c r="G63" s="97"/>
      <c r="H63" s="48"/>
      <c r="I63" s="50">
        <f>I62*BenefitParams!$B$12</f>
        <v>0</v>
      </c>
      <c r="J63" s="121">
        <f>J62*BenefitParams!$B$12</f>
        <v>-3.0469313240434714E-3</v>
      </c>
      <c r="K63" s="121">
        <f>K62*BenefitParams!$B$12</f>
        <v>-6.0014327199051105E-3</v>
      </c>
      <c r="L63" s="130">
        <f>L62*BenefitParams!$D$12</f>
        <v>-5.4489744670728393E-3</v>
      </c>
      <c r="M63" s="130">
        <f>M62*BenefitParams!$D$12</f>
        <v>-9.677043664199754E-3</v>
      </c>
    </row>
    <row r="64" spans="2:13" x14ac:dyDescent="0.2">
      <c r="B64" s="31" t="s">
        <v>125</v>
      </c>
      <c r="C64" s="33"/>
      <c r="D64" s="110"/>
      <c r="E64" s="110"/>
      <c r="F64" s="96"/>
      <c r="G64" s="96"/>
      <c r="H64" s="33"/>
      <c r="I64" s="58">
        <f>I$54*$C$54/$C$50-I$62*(1-BackgroundInfo1!$D$41)</f>
        <v>0</v>
      </c>
      <c r="J64" s="120">
        <f>J$54*$C$54/$C$50-J$62*(1-BackgroundInfo1!$D$41)</f>
        <v>0.10365642957705873</v>
      </c>
      <c r="K64" s="120">
        <f>K$54*$C$54/$C$50-K$62*(1-BackgroundInfo1!$D$41)</f>
        <v>0.10529907855372511</v>
      </c>
      <c r="L64" s="129">
        <f>L$54*$C$54/$C$50-L$62*(1-BackgroundInfo1!$D$41)</f>
        <v>0.82470924513039723</v>
      </c>
      <c r="M64" s="129">
        <f>M$54*$C$54/$C$50-M$62*(1-BackgroundInfo1!$D$41)</f>
        <v>0.63116556162771886</v>
      </c>
    </row>
    <row r="65" spans="2:13" x14ac:dyDescent="0.2">
      <c r="B65" s="54" t="s">
        <v>133</v>
      </c>
      <c r="D65" s="100"/>
      <c r="E65" s="100"/>
      <c r="F65" s="94"/>
      <c r="G65" s="94"/>
      <c r="I65" s="34">
        <f>-I62*(1-BackgroundInfo1!$D$41)</f>
        <v>0</v>
      </c>
      <c r="J65" s="120">
        <f>-J62*(1-BackgroundInfo1!$D$41)</f>
        <v>6.6335460711009608E-3</v>
      </c>
      <c r="K65" s="120">
        <f>-K62*(1-BackgroundInfo1!$D$41)</f>
        <v>1.3065860764879948E-2</v>
      </c>
      <c r="L65" s="129">
        <f>-L62*(1-BackgroundInfo1!$D$41)</f>
        <v>5.7681375011121083E-2</v>
      </c>
      <c r="M65" s="129">
        <f>-M62*(1-BackgroundInfo1!$D$41)</f>
        <v>0.10243857591308433</v>
      </c>
    </row>
    <row r="66" spans="2:13" x14ac:dyDescent="0.2">
      <c r="B66" s="54" t="s">
        <v>137</v>
      </c>
      <c r="D66" s="100"/>
      <c r="E66" s="100"/>
      <c r="F66" s="94"/>
      <c r="G66" s="94"/>
      <c r="I66" s="34">
        <f>BenefitParams!$B$6*(Pharmacy!C$54-Pharmacy!$C$54)/$C$50+BenefitParams!$B$7*Pharmacy!I$65</f>
        <v>0</v>
      </c>
      <c r="J66" s="120">
        <f>BenefitParams!$B$6*(Pharmacy!D$54-Pharmacy!$C$54)/$C$50+BenefitParams!$B$7*Pharmacy!J$65</f>
        <v>7.7224040034909555E-2</v>
      </c>
      <c r="K66" s="120">
        <f>BenefitParams!$B$6*(Pharmacy!E$54-Pharmacy!$C$54)/$C$50+BenefitParams!$B$7*Pharmacy!K$65</f>
        <v>7.8447813522524307E-2</v>
      </c>
      <c r="L66" s="129">
        <f>BenefitParams!$D$6*(Pharmacy!F$54-Pharmacy!$C$54)/$C$50+BenefitParams!$D$7*Pharmacy!L$65</f>
        <v>0.679941609729803</v>
      </c>
      <c r="M66" s="129">
        <f>BenefitParams!$D$6*(Pharmacy!G$54-Pharmacy!$C$54)/$C$50+BenefitParams!$D$7*Pharmacy!M$65</f>
        <v>0.51614618013234115</v>
      </c>
    </row>
    <row r="67" spans="2:13" x14ac:dyDescent="0.2">
      <c r="B67" s="54" t="s">
        <v>138</v>
      </c>
      <c r="D67" s="100"/>
      <c r="E67" s="100"/>
      <c r="F67" s="94"/>
      <c r="G67" s="94"/>
      <c r="I67" s="34">
        <f>I66*BackgroundInfo2!$B$15</f>
        <v>0</v>
      </c>
      <c r="J67" s="120">
        <f>J66*BackgroundInfo2!$B$15</f>
        <v>3.8612020017454778E-2</v>
      </c>
      <c r="K67" s="120">
        <f>K66*BackgroundInfo2!$B$15</f>
        <v>3.9223906761262153E-2</v>
      </c>
      <c r="L67" s="129">
        <f>L66*BackgroundInfo2!$B$15</f>
        <v>0.3399708048649015</v>
      </c>
      <c r="M67" s="129">
        <f>M66*BackgroundInfo2!$B$15</f>
        <v>0.25807309006617057</v>
      </c>
    </row>
    <row r="68" spans="2:13" x14ac:dyDescent="0.2">
      <c r="B68" s="72" t="s">
        <v>158</v>
      </c>
      <c r="D68" s="100"/>
      <c r="E68" s="100"/>
      <c r="F68" s="94"/>
      <c r="G68" s="94"/>
      <c r="I68" s="74">
        <f>(C$61-$C$61)*BackgroundInfo2!$B$26/$C$50</f>
        <v>0</v>
      </c>
      <c r="J68" s="122">
        <f>(D$61-$C$61)*BackgroundInfo2!$B$26/$C$50</f>
        <v>-9.8116881140197115E-4</v>
      </c>
      <c r="K68" s="122">
        <f>(E$61-$C$61)*BackgroundInfo2!$B$26/$C$50</f>
        <v>-1.9325734590839164E-3</v>
      </c>
      <c r="L68" s="131">
        <f>(F$61-$C$61)*BackgroundInfo2!$B$26/$C$50</f>
        <v>-8.5316609778663382E-3</v>
      </c>
      <c r="M68" s="131">
        <f>(G$61-$C$61)*BackgroundInfo2!$B$26/$C$50</f>
        <v>-1.5151705391512674E-2</v>
      </c>
    </row>
    <row r="69" spans="2:13" x14ac:dyDescent="0.2">
      <c r="B69" s="54"/>
      <c r="I69" s="34"/>
      <c r="J69" s="35"/>
      <c r="K69" s="35"/>
      <c r="L69" s="35"/>
    </row>
    <row r="72" spans="2:13" x14ac:dyDescent="0.2">
      <c r="C72" s="3"/>
      <c r="D72" s="3"/>
      <c r="E72" s="3"/>
      <c r="F72" s="3"/>
      <c r="G72" s="3"/>
    </row>
  </sheetData>
  <mergeCells count="12">
    <mergeCell ref="I56:M56"/>
    <mergeCell ref="C6:H6"/>
    <mergeCell ref="C7:I7"/>
    <mergeCell ref="C8:I8"/>
    <mergeCell ref="C9:I9"/>
    <mergeCell ref="C19:N20"/>
    <mergeCell ref="I21:M21"/>
    <mergeCell ref="D23:E23"/>
    <mergeCell ref="F23:G23"/>
    <mergeCell ref="C21:G21"/>
    <mergeCell ref="J23:K23"/>
    <mergeCell ref="L23:M23"/>
  </mergeCells>
  <conditionalFormatting sqref="B7:B8">
    <cfRule type="cellIs" dxfId="5" priority="7" operator="lessThan">
      <formula>$O$26</formula>
    </cfRule>
  </conditionalFormatting>
  <conditionalFormatting sqref="D24:G24">
    <cfRule type="cellIs" dxfId="4" priority="6" operator="greaterThan">
      <formula>$B$13</formula>
    </cfRule>
  </conditionalFormatting>
  <conditionalFormatting sqref="B9">
    <cfRule type="cellIs" dxfId="3" priority="5" operator="greaterThan">
      <formula>$B$13</formula>
    </cfRule>
  </conditionalFormatting>
  <conditionalFormatting sqref="C25">
    <cfRule type="cellIs" dxfId="2" priority="4" operator="equal">
      <formula>C$24</formula>
    </cfRule>
  </conditionalFormatting>
  <conditionalFormatting sqref="D25:E25">
    <cfRule type="cellIs" dxfId="1" priority="2" operator="equal">
      <formula>D$24</formula>
    </cfRule>
  </conditionalFormatting>
  <conditionalFormatting sqref="F25:G25">
    <cfRule type="cellIs" dxfId="0" priority="1" operator="equal">
      <formula>F$24</formula>
    </cfRule>
  </conditionalFormatting>
  <dataValidations count="7">
    <dataValidation type="custom" operator="lessThan" allowBlank="1" showInputMessage="1" showErrorMessage="1" errorTitle="Discount rate out of range" error="Must be positive but below Maximum." promptTitle="Scenario1disc" prompt="Discount rate scenario" sqref="D24:E24" xr:uid="{A2B9B371-4387-EC48-BA3B-DC8CF8F71BF8}">
      <formula1>AND(D24&gt;0,D24&lt;=$B$13)</formula1>
    </dataValidation>
    <dataValidation type="custom" allowBlank="1" showInputMessage="1" showErrorMessage="1" promptTitle="beta" prompt="Share of management surplus going to plans and patients" sqref="C26" xr:uid="{B8A377A1-C63E-F249-9DAE-67800247C3AE}">
      <formula1>AND(C26&gt;=$B$15,C26&lt;=$B$16)</formula1>
    </dataValidation>
    <dataValidation type="custom" operator="lessThan" allowBlank="1" showInputMessage="1" showErrorMessage="1" errorTitle="Rebate rate out of range" error="Must be positive but below Maximum." promptTitle="Baselinediscount" prompt="Baseline discounts as a ratio to gross drug costs" sqref="B9" xr:uid="{BFC58B95-7CDC-2C40-8CF9-9F8FCA7FEC6C}">
      <formula1>AND(B9&gt;0,B9&lt;=$B$13)</formula1>
    </dataValidation>
    <dataValidation type="custom" operator="lessThan" allowBlank="1" showInputMessage="1" showErrorMessage="1" errorTitle="epsilon out of range" error="Must be less than BOTH -1 and industry elasticity." promptTitle="epsilon" prompt="Own-price elasticity of demand" sqref="B8" xr:uid="{BE1B1F1F-2AFD-6E4E-8084-F757BEBA52DB}">
      <formula1>AND(B8&lt;-1,B8&lt;B7)</formula1>
    </dataValidation>
    <dataValidation type="custom" operator="lessThan" allowBlank="1" showInputMessage="1" showErrorMessage="1" errorTitle="eta out of range" error="Must be in the interval (own elas,0)." promptTitle="eta" prompt="Industry elasticity of demand" sqref="B7" xr:uid="{805CF186-BDFD-4A47-9506-320955FBFEE4}">
      <formula1>AND(B7&lt;0,B7&gt;B8)</formula1>
    </dataValidation>
    <dataValidation type="custom" operator="lessThan" allowBlank="1" showInputMessage="1" showErrorMessage="1" errorTitle="Discount rate out of range" error="Must be positive but below Maximum." promptTitle="Scenario3disc" prompt="Discount rate scenario" sqref="F24" xr:uid="{97B0F975-BCC8-714E-ABBF-430B88543F69}">
      <formula1>AND(F24&gt;0,F24&lt;=$B$13)</formula1>
    </dataValidation>
    <dataValidation type="custom" operator="lessThan" allowBlank="1" showInputMessage="1" showErrorMessage="1" errorTitle="Discount rate out of range" error="Must be positive but below Maximum." promptTitle="Scenario4disc" prompt="Discount rate scenario" sqref="G24" xr:uid="{77F63C49-A8E1-1F4B-B60D-C5D3F2682E0F}">
      <formula1>AND(G24&gt;0,G24&lt;=$B$13)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CB2C1-FD53-794F-8C40-D11F5E056E69}">
  <dimension ref="A1:F21"/>
  <sheetViews>
    <sheetView showGridLines="0" workbookViewId="0"/>
  </sheetViews>
  <sheetFormatPr baseColWidth="10" defaultRowHeight="16" x14ac:dyDescent="0.2"/>
  <cols>
    <col min="1" max="1" width="38.83203125" customWidth="1"/>
  </cols>
  <sheetData>
    <row r="1" spans="1:6" x14ac:dyDescent="0.2">
      <c r="A1" s="17" t="s">
        <v>54</v>
      </c>
    </row>
    <row r="2" spans="1:6" x14ac:dyDescent="0.2">
      <c r="D2" s="217" t="s">
        <v>57</v>
      </c>
    </row>
    <row r="3" spans="1:6" x14ac:dyDescent="0.2">
      <c r="A3" s="5" t="s">
        <v>1</v>
      </c>
      <c r="B3" s="6" t="s">
        <v>55</v>
      </c>
      <c r="C3" s="6" t="s">
        <v>56</v>
      </c>
      <c r="D3" s="218"/>
      <c r="F3" s="5" t="s">
        <v>116</v>
      </c>
    </row>
    <row r="4" spans="1:6" x14ac:dyDescent="0.2">
      <c r="A4" t="s">
        <v>70</v>
      </c>
      <c r="B4" s="12">
        <f>BackgroundInfo1!$C$32/(BackgroundInfo1!$C$32+BackgroundInfo1!$C$33)</f>
        <v>0.13346727898966704</v>
      </c>
      <c r="C4" s="12">
        <f>B4</f>
        <v>0.13346727898966704</v>
      </c>
      <c r="D4" s="12">
        <f>B4</f>
        <v>0.13346727898966704</v>
      </c>
    </row>
    <row r="5" spans="1:6" x14ac:dyDescent="0.2">
      <c r="A5" t="s">
        <v>58</v>
      </c>
      <c r="B5" s="12">
        <f>BackgroundInfo1!$D$32/(BackgroundInfo1!$D$32+BackgroundInfo1!$D$33)</f>
        <v>0.1018397237437485</v>
      </c>
      <c r="C5" s="12">
        <f>B5</f>
        <v>0.1018397237437485</v>
      </c>
      <c r="D5" s="12">
        <f>B5</f>
        <v>0.1018397237437485</v>
      </c>
    </row>
    <row r="6" spans="1:6" x14ac:dyDescent="0.2">
      <c r="A6" t="s">
        <v>59</v>
      </c>
      <c r="B6">
        <f>BackgroundInfo1!$E$28</f>
        <v>0.745</v>
      </c>
      <c r="C6" s="12">
        <f>BackgroundInfo1!$C$35</f>
        <v>0.48793303551875739</v>
      </c>
      <c r="D6" s="12">
        <f>BackgroundInfo1!$C$34</f>
        <v>0.82953256910633788</v>
      </c>
    </row>
    <row r="7" spans="1:6" x14ac:dyDescent="0.2">
      <c r="A7" t="s">
        <v>60</v>
      </c>
      <c r="B7">
        <f>B6</f>
        <v>0.745</v>
      </c>
      <c r="C7" s="12">
        <f>BackgroundInfo1!$D$35</f>
        <v>0.48793303551875733</v>
      </c>
      <c r="D7" s="12">
        <f>BackgroundInfo1!$D$34</f>
        <v>0.75703829954086921</v>
      </c>
    </row>
    <row r="8" spans="1:6" x14ac:dyDescent="0.2">
      <c r="A8" t="s">
        <v>61</v>
      </c>
      <c r="B8" s="12">
        <f>BackgroundInfo2!$B$6</f>
        <v>0.87273927661881068</v>
      </c>
      <c r="C8" s="12">
        <f>B8</f>
        <v>0.87273927661881068</v>
      </c>
      <c r="D8" s="12">
        <f>B8</f>
        <v>0.87273927661881068</v>
      </c>
    </row>
    <row r="9" spans="1:6" ht="34" x14ac:dyDescent="0.2">
      <c r="A9" s="36" t="s">
        <v>63</v>
      </c>
      <c r="B9" s="45">
        <f>BackgroundInfo1!$G$28</f>
        <v>0.53217792441494705</v>
      </c>
      <c r="C9" s="45">
        <f>BackgroundInfo1!$C$38</f>
        <v>0.91016369044188727</v>
      </c>
      <c r="D9" s="45">
        <f>BackgroundInfo1!$C$37</f>
        <v>0.81642187014719658</v>
      </c>
    </row>
    <row r="10" spans="1:6" hidden="1" x14ac:dyDescent="0.2">
      <c r="A10" t="s">
        <v>64</v>
      </c>
      <c r="B10">
        <f>B8*B9</f>
        <v>0.46445257678640101</v>
      </c>
      <c r="C10">
        <f>C8*C9</f>
        <v>0.79433560080095988</v>
      </c>
      <c r="D10">
        <f>D8*D9</f>
        <v>0.71252343236804094</v>
      </c>
    </row>
    <row r="11" spans="1:6" hidden="1" x14ac:dyDescent="0.2">
      <c r="A11" t="s">
        <v>65</v>
      </c>
      <c r="B11">
        <f>(B$5+B$10*(1-B$5)*(1-B$7))/(1-(1-B$4)*B$6)</f>
        <v>0.58745554030914948</v>
      </c>
      <c r="C11">
        <f>(C$5+C$10*(1-C$5)*(1-C$7))/(1-(1-C$4)*C$6)</f>
        <v>0.8093852642031667</v>
      </c>
      <c r="D11">
        <f>(D$5+D$10*(1-D$5)*(1-D$7))/(1-(1-D$4)*D$6)</f>
        <v>0.91515367981925155</v>
      </c>
    </row>
    <row r="12" spans="1:6" x14ac:dyDescent="0.2">
      <c r="A12" t="s">
        <v>66</v>
      </c>
      <c r="B12" s="12">
        <f>1-B11</f>
        <v>0.41254445969085052</v>
      </c>
      <c r="C12" s="12">
        <f>1-C11</f>
        <v>0.1906147357968333</v>
      </c>
      <c r="D12" s="12">
        <f>1-D11</f>
        <v>8.4846320180748447E-2</v>
      </c>
      <c r="F12" t="s">
        <v>121</v>
      </c>
    </row>
    <row r="13" spans="1:6" x14ac:dyDescent="0.2">
      <c r="A13" s="37" t="s">
        <v>67</v>
      </c>
    </row>
    <row r="14" spans="1:6" x14ac:dyDescent="0.2">
      <c r="A14" t="s">
        <v>68</v>
      </c>
      <c r="B14" s="12">
        <f>B12*$B$21</f>
        <v>0.29184568140117439</v>
      </c>
      <c r="C14" s="12">
        <f>C12*$B$21</f>
        <v>0.13484628419302808</v>
      </c>
      <c r="D14" s="12">
        <f>D12*$B$21</f>
        <v>6.0022699483320494E-2</v>
      </c>
      <c r="F14" t="s">
        <v>94</v>
      </c>
    </row>
    <row r="15" spans="1:6" x14ac:dyDescent="0.2">
      <c r="A15" s="37" t="str">
        <f>"= "&amp;TEXT($B$21,0.01)&amp;"*(g)"</f>
        <v>= 0.71*(g)</v>
      </c>
    </row>
    <row r="17" spans="1:6" x14ac:dyDescent="0.2">
      <c r="A17" s="6" t="s">
        <v>95</v>
      </c>
      <c r="B17" s="6" t="s">
        <v>2</v>
      </c>
    </row>
    <row r="18" spans="1:6" x14ac:dyDescent="0.2">
      <c r="A18" s="2" t="s">
        <v>100</v>
      </c>
      <c r="B18">
        <f>BackgroundInfo2!$B$7*BackgroundInfo2!$B$8</f>
        <v>9.6750000000000017E-2</v>
      </c>
      <c r="F18" t="s">
        <v>108</v>
      </c>
    </row>
    <row r="19" spans="1:6" x14ac:dyDescent="0.2">
      <c r="A19" s="2" t="s">
        <v>69</v>
      </c>
      <c r="B19" s="38">
        <f>BackgroundInfo2!$B$10*BackgroundInfo2!$B$11/BackgroundInfo2!$B$12</f>
        <v>1.8956834313497564</v>
      </c>
    </row>
    <row r="20" spans="1:6" x14ac:dyDescent="0.2">
      <c r="A20" s="2" t="s">
        <v>102</v>
      </c>
      <c r="B20" s="38">
        <f>1+BackgroundInfo2!$B$9</f>
        <v>1.35</v>
      </c>
    </row>
    <row r="21" spans="1:6" x14ac:dyDescent="0.2">
      <c r="A21" s="2" t="s">
        <v>106</v>
      </c>
      <c r="B21" s="38">
        <f>B18*B19/(1-1/B20)</f>
        <v>0.70742843479191442</v>
      </c>
      <c r="F21" t="s">
        <v>107</v>
      </c>
    </row>
  </sheetData>
  <mergeCells count="1">
    <mergeCell ref="D2:D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42AE6-4D8A-024D-9520-6411FE451487}">
  <dimension ref="A1:H51"/>
  <sheetViews>
    <sheetView workbookViewId="0"/>
  </sheetViews>
  <sheetFormatPr baseColWidth="10" defaultRowHeight="16" x14ac:dyDescent="0.2"/>
  <cols>
    <col min="1" max="1" width="26.83203125" customWidth="1"/>
    <col min="3" max="3" width="24.6640625" bestFit="1" customWidth="1"/>
    <col min="6" max="6" width="11.5" bestFit="1" customWidth="1"/>
    <col min="7" max="7" width="11.5" customWidth="1"/>
  </cols>
  <sheetData>
    <row r="1" spans="1:4" x14ac:dyDescent="0.2">
      <c r="A1" s="17" t="s">
        <v>192</v>
      </c>
    </row>
    <row r="2" spans="1:4" x14ac:dyDescent="0.2">
      <c r="A2" s="15" t="s">
        <v>40</v>
      </c>
    </row>
    <row r="4" spans="1:4" x14ac:dyDescent="0.2">
      <c r="A4" s="5" t="s">
        <v>97</v>
      </c>
      <c r="B4" s="6" t="s">
        <v>2</v>
      </c>
      <c r="C4" s="5" t="s">
        <v>3</v>
      </c>
      <c r="D4" s="5" t="s">
        <v>44</v>
      </c>
    </row>
    <row r="5" spans="1:4" x14ac:dyDescent="0.2">
      <c r="A5" t="s">
        <v>43</v>
      </c>
      <c r="B5" s="4">
        <v>0.9</v>
      </c>
      <c r="C5" t="s">
        <v>92</v>
      </c>
      <c r="D5" t="s">
        <v>45</v>
      </c>
    </row>
    <row r="6" spans="1:4" x14ac:dyDescent="0.2">
      <c r="A6" t="s">
        <v>274</v>
      </c>
      <c r="B6" s="77">
        <f>(358/930)*(1181920/3136240)</f>
        <v>0.14507042060364594</v>
      </c>
      <c r="C6" t="s">
        <v>92</v>
      </c>
      <c r="D6" t="s">
        <v>275</v>
      </c>
    </row>
    <row r="7" spans="1:4" x14ac:dyDescent="0.2">
      <c r="A7" t="s">
        <v>120</v>
      </c>
    </row>
    <row r="8" spans="1:4" x14ac:dyDescent="0.2">
      <c r="A8" s="14" t="s">
        <v>55</v>
      </c>
      <c r="B8" s="77">
        <f>31/111</f>
        <v>0.27927927927927926</v>
      </c>
      <c r="C8" t="s">
        <v>92</v>
      </c>
      <c r="D8" t="s">
        <v>118</v>
      </c>
    </row>
    <row r="9" spans="1:4" x14ac:dyDescent="0.2">
      <c r="A9" s="14" t="s">
        <v>56</v>
      </c>
      <c r="B9" s="51">
        <f>23/161</f>
        <v>0.14285714285714285</v>
      </c>
      <c r="C9" t="s">
        <v>92</v>
      </c>
      <c r="D9" t="s">
        <v>118</v>
      </c>
    </row>
    <row r="10" spans="1:4" x14ac:dyDescent="0.2">
      <c r="A10" s="14" t="s">
        <v>57</v>
      </c>
      <c r="B10" s="38">
        <f>(($C$27+$C$29)*B$9+$C$28*B$8)/SUM($C$27:$C$29)</f>
        <v>0.23988464746434321</v>
      </c>
      <c r="D10" t="s">
        <v>119</v>
      </c>
    </row>
    <row r="11" spans="1:4" x14ac:dyDescent="0.2">
      <c r="A11" s="78" t="s">
        <v>236</v>
      </c>
      <c r="B11" s="77">
        <v>0.15</v>
      </c>
      <c r="C11" t="s">
        <v>92</v>
      </c>
      <c r="D11" t="s">
        <v>166</v>
      </c>
    </row>
    <row r="12" spans="1:4" x14ac:dyDescent="0.2">
      <c r="A12" s="78" t="s">
        <v>167</v>
      </c>
    </row>
    <row r="13" spans="1:4" x14ac:dyDescent="0.2">
      <c r="A13" s="14" t="s">
        <v>55</v>
      </c>
      <c r="B13" s="77">
        <f>AVERAGE(8.13/(8.13+B$11*(1-0.265)*183),9.535/(9.535+B$11*(1-0.283)*198.7))</f>
        <v>0.29787253798337188</v>
      </c>
      <c r="C13" t="s">
        <v>92</v>
      </c>
      <c r="D13" t="s">
        <v>168</v>
      </c>
    </row>
    <row r="14" spans="1:4" x14ac:dyDescent="0.2">
      <c r="A14" s="14" t="s">
        <v>57</v>
      </c>
      <c r="B14" s="77">
        <f>B13</f>
        <v>0.29787253798337188</v>
      </c>
      <c r="C14" t="s">
        <v>92</v>
      </c>
      <c r="D14" t="s">
        <v>85</v>
      </c>
    </row>
    <row r="15" spans="1:4" x14ac:dyDescent="0.2">
      <c r="A15" t="s">
        <v>174</v>
      </c>
      <c r="B15" s="77">
        <f>1-(48.7+54.4+34.2+9)/385.2</f>
        <v>0.62019730010384211</v>
      </c>
      <c r="C15" t="s">
        <v>92</v>
      </c>
      <c r="D15" t="s">
        <v>173</v>
      </c>
    </row>
    <row r="16" spans="1:4" x14ac:dyDescent="0.2">
      <c r="A16" t="s">
        <v>215</v>
      </c>
    </row>
    <row r="17" spans="1:8" x14ac:dyDescent="0.2">
      <c r="A17" s="14" t="s">
        <v>55</v>
      </c>
      <c r="B17" s="42">
        <f>AVERAGE(8.13,9.535)</f>
        <v>8.8324999999999996</v>
      </c>
      <c r="C17" t="s">
        <v>115</v>
      </c>
      <c r="D17" t="s">
        <v>216</v>
      </c>
    </row>
    <row r="18" spans="1:8" x14ac:dyDescent="0.2">
      <c r="A18" s="14" t="s">
        <v>57</v>
      </c>
      <c r="B18" s="42">
        <f>B$17*B$14*$C$33/(1.5*$C$28*B$13)</f>
        <v>16.175503488019412</v>
      </c>
      <c r="C18" t="s">
        <v>115</v>
      </c>
      <c r="D18" t="s">
        <v>293</v>
      </c>
    </row>
    <row r="19" spans="1:8" x14ac:dyDescent="0.2">
      <c r="A19" s="78" t="s">
        <v>237</v>
      </c>
    </row>
    <row r="20" spans="1:8" x14ac:dyDescent="0.2">
      <c r="A20" s="14" t="s">
        <v>55</v>
      </c>
      <c r="B20" s="12">
        <f>B13*B$11/(1-B13)</f>
        <v>6.3636423747299067E-2</v>
      </c>
    </row>
    <row r="21" spans="1:8" x14ac:dyDescent="0.2">
      <c r="A21" s="14" t="s">
        <v>57</v>
      </c>
      <c r="B21" s="12">
        <f>B14*B$11/(1-B14)</f>
        <v>6.3636423747299067E-2</v>
      </c>
    </row>
    <row r="22" spans="1:8" x14ac:dyDescent="0.2">
      <c r="A22" s="14"/>
    </row>
    <row r="23" spans="1:8" x14ac:dyDescent="0.2">
      <c r="A23" s="15" t="s">
        <v>193</v>
      </c>
    </row>
    <row r="24" spans="1:8" x14ac:dyDescent="0.2">
      <c r="A24" s="17"/>
      <c r="B24" s="207" t="s">
        <v>71</v>
      </c>
      <c r="C24" s="207"/>
      <c r="D24" s="207"/>
      <c r="E24" s="207" t="s">
        <v>75</v>
      </c>
      <c r="F24" s="207"/>
      <c r="G24" s="207" t="s">
        <v>87</v>
      </c>
      <c r="H24" s="207"/>
    </row>
    <row r="25" spans="1:8" x14ac:dyDescent="0.2">
      <c r="B25" s="5" t="s">
        <v>72</v>
      </c>
      <c r="C25" s="6" t="s">
        <v>73</v>
      </c>
      <c r="D25" s="6" t="s">
        <v>74</v>
      </c>
      <c r="E25" s="6" t="s">
        <v>2</v>
      </c>
      <c r="F25" s="41" t="s">
        <v>44</v>
      </c>
      <c r="G25" s="41" t="s">
        <v>2</v>
      </c>
      <c r="H25" s="41" t="s">
        <v>44</v>
      </c>
    </row>
    <row r="26" spans="1:8" x14ac:dyDescent="0.2">
      <c r="A26" t="s">
        <v>76</v>
      </c>
    </row>
    <row r="27" spans="1:8" x14ac:dyDescent="0.2">
      <c r="A27" s="14" t="s">
        <v>77</v>
      </c>
      <c r="B27" s="1">
        <f>521.3+290.9+167.7</f>
        <v>979.89999999999986</v>
      </c>
      <c r="C27" s="42">
        <f>140.9*B27/($B$29+$B$31+$B$33)</f>
        <v>40.08591295764014</v>
      </c>
      <c r="D27" s="39">
        <f>B27-C27</f>
        <v>939.81408704235969</v>
      </c>
      <c r="E27" s="1">
        <v>0.43</v>
      </c>
      <c r="F27" t="s">
        <v>84</v>
      </c>
      <c r="G27" s="1">
        <v>0.9</v>
      </c>
      <c r="H27" t="s">
        <v>85</v>
      </c>
    </row>
    <row r="28" spans="1:8" x14ac:dyDescent="0.2">
      <c r="A28" s="14" t="s">
        <v>55</v>
      </c>
      <c r="B28" s="1">
        <v>829.5</v>
      </c>
      <c r="C28" s="42">
        <v>109.9</v>
      </c>
      <c r="D28" s="39">
        <f t="shared" ref="D28:D33" si="0">B28-C28</f>
        <v>719.6</v>
      </c>
      <c r="E28" s="1">
        <v>0.745</v>
      </c>
      <c r="F28" t="s">
        <v>93</v>
      </c>
      <c r="G28" s="44">
        <f>26.281974/49.38569</f>
        <v>0.53217792441494705</v>
      </c>
      <c r="H28" t="s">
        <v>88</v>
      </c>
    </row>
    <row r="29" spans="1:8" x14ac:dyDescent="0.2">
      <c r="A29" s="14" t="s">
        <v>78</v>
      </c>
      <c r="B29" s="42">
        <f>(50.2+75.1)*(1-2241/19448)</f>
        <v>110.86163615795968</v>
      </c>
      <c r="C29" s="42">
        <f>140.9*B29/($B$29+$B$31+$B$33)</f>
        <v>4.5351463387790014</v>
      </c>
      <c r="D29" s="39">
        <f t="shared" si="0"/>
        <v>106.32648981918068</v>
      </c>
      <c r="E29" s="1">
        <v>1</v>
      </c>
      <c r="F29" t="s">
        <v>85</v>
      </c>
      <c r="G29" s="1">
        <v>1</v>
      </c>
      <c r="H29" t="s">
        <v>85</v>
      </c>
    </row>
    <row r="30" spans="1:8" x14ac:dyDescent="0.2">
      <c r="A30" s="14" t="s">
        <v>79</v>
      </c>
      <c r="B30" s="42">
        <f>(3931.3-223.7)-B27-B28-B29-B31-B32</f>
        <v>1384.3000000000006</v>
      </c>
      <c r="C30" s="42">
        <f>348.4-C27-C28-C29-C31-C32</f>
        <v>146.78829370263915</v>
      </c>
      <c r="D30" s="39">
        <f t="shared" si="0"/>
        <v>1237.5117062973616</v>
      </c>
      <c r="E30" s="1">
        <v>1</v>
      </c>
      <c r="F30" t="s">
        <v>85</v>
      </c>
      <c r="G30" s="1">
        <v>1</v>
      </c>
      <c r="H30" t="s">
        <v>85</v>
      </c>
    </row>
    <row r="31" spans="1:8" x14ac:dyDescent="0.2">
      <c r="A31" s="14" t="s">
        <v>80</v>
      </c>
      <c r="B31" s="42">
        <f>(50.2+75.1)*2241/19448</f>
        <v>14.438363842040312</v>
      </c>
      <c r="C31" s="42">
        <f>140.9*B31/($B$29+$B$31+$B$33)</f>
        <v>0.59064700094169487</v>
      </c>
      <c r="D31" s="39">
        <f t="shared" si="0"/>
        <v>13.847716841098617</v>
      </c>
      <c r="E31" s="1">
        <v>0</v>
      </c>
      <c r="G31" s="1">
        <v>1</v>
      </c>
      <c r="H31" t="s">
        <v>85</v>
      </c>
    </row>
    <row r="32" spans="1:8" x14ac:dyDescent="0.2">
      <c r="A32" s="5" t="s">
        <v>81</v>
      </c>
      <c r="B32" s="43">
        <v>388.6</v>
      </c>
      <c r="C32" s="43">
        <v>46.5</v>
      </c>
      <c r="D32" s="40">
        <f t="shared" si="0"/>
        <v>342.1</v>
      </c>
      <c r="E32" s="43">
        <v>0</v>
      </c>
    </row>
    <row r="33" spans="1:4" x14ac:dyDescent="0.2">
      <c r="A33" t="s">
        <v>83</v>
      </c>
      <c r="B33">
        <f>SUM(B27:B31)</f>
        <v>3319.0000000000009</v>
      </c>
      <c r="C33">
        <f>SUM(C27:C31)</f>
        <v>301.90000000000003</v>
      </c>
      <c r="D33" s="39">
        <f t="shared" si="0"/>
        <v>3017.1000000000008</v>
      </c>
    </row>
    <row r="34" spans="1:4" x14ac:dyDescent="0.2">
      <c r="A34" s="14" t="s">
        <v>82</v>
      </c>
      <c r="B34" s="3">
        <f>SUMPRODUCT(B$27:B$31,$E$27:$E$31)/B33</f>
        <v>0.76363246042722499</v>
      </c>
      <c r="C34" s="3">
        <f>SUMPRODUCT(C$27:C$31,$E$27:$E$31)/C33</f>
        <v>0.82953256910633788</v>
      </c>
      <c r="D34" s="3">
        <f>SUMPRODUCT(D$27:D$31,$E$27:$E$31)/D33</f>
        <v>0.75703829954086921</v>
      </c>
    </row>
    <row r="35" spans="1:4" x14ac:dyDescent="0.2">
      <c r="A35" s="14" t="s">
        <v>86</v>
      </c>
      <c r="B35" s="3">
        <f>(B27*$E27+B29*$E29)/(B27+B29)</f>
        <v>0.48793303551875739</v>
      </c>
      <c r="C35" s="3">
        <f>(C27*$E27+C29*$E29)/(C27+C29)</f>
        <v>0.48793303551875739</v>
      </c>
      <c r="D35" s="3">
        <f>(D27*$E27+D29*$E29)/(D27+D29)</f>
        <v>0.48793303551875733</v>
      </c>
    </row>
    <row r="36" spans="1:4" x14ac:dyDescent="0.2">
      <c r="A36" t="s">
        <v>89</v>
      </c>
    </row>
    <row r="37" spans="1:4" x14ac:dyDescent="0.2">
      <c r="A37" s="14" t="s">
        <v>90</v>
      </c>
      <c r="C37" s="38">
        <f>SUMPRODUCT(C$27:C$31,$G$27:$G$31)/C$33</f>
        <v>0.81642187014719658</v>
      </c>
    </row>
    <row r="38" spans="1:4" x14ac:dyDescent="0.2">
      <c r="A38" s="14" t="s">
        <v>56</v>
      </c>
      <c r="C38" s="38">
        <f>(C27*$G27+C29*$G29)/(C27+C29)</f>
        <v>0.91016369044188727</v>
      </c>
    </row>
    <row r="40" spans="1:4" x14ac:dyDescent="0.2">
      <c r="A40" t="s">
        <v>134</v>
      </c>
      <c r="C40" s="12">
        <f>(1-$B$10)*C32/(C32+C33)</f>
        <v>0.10145052782120562</v>
      </c>
    </row>
    <row r="41" spans="1:4" x14ac:dyDescent="0.2">
      <c r="A41" t="s">
        <v>270</v>
      </c>
      <c r="C41" s="12">
        <f>C32/(C32+C33)</f>
        <v>0.13346727898966704</v>
      </c>
      <c r="D41" s="12">
        <f>D32/(D32+D33)</f>
        <v>0.1018397237437485</v>
      </c>
    </row>
    <row r="43" spans="1:4" x14ac:dyDescent="0.2">
      <c r="A43" t="s">
        <v>291</v>
      </c>
      <c r="C43" s="1">
        <f>968/12100</f>
        <v>0.08</v>
      </c>
      <c r="D43" s="170" t="s">
        <v>292</v>
      </c>
    </row>
    <row r="46" spans="1:4" x14ac:dyDescent="0.2">
      <c r="A46" t="s">
        <v>308</v>
      </c>
    </row>
    <row r="47" spans="1:4" x14ac:dyDescent="0.2">
      <c r="A47" t="s">
        <v>228</v>
      </c>
      <c r="B47">
        <v>92</v>
      </c>
    </row>
    <row r="48" spans="1:4" x14ac:dyDescent="0.2">
      <c r="A48" t="s">
        <v>221</v>
      </c>
      <c r="B48">
        <f>145-B47</f>
        <v>53</v>
      </c>
    </row>
    <row r="49" spans="1:2" x14ac:dyDescent="0.2">
      <c r="A49" s="202" t="s">
        <v>309</v>
      </c>
    </row>
    <row r="50" spans="1:2" x14ac:dyDescent="0.2">
      <c r="A50" s="202"/>
    </row>
    <row r="51" spans="1:2" x14ac:dyDescent="0.2">
      <c r="A51" s="202"/>
      <c r="B51" s="77">
        <f>AVERAGE(1/4,5/12)</f>
        <v>0.33333333333333337</v>
      </c>
    </row>
  </sheetData>
  <mergeCells count="4">
    <mergeCell ref="B24:D24"/>
    <mergeCell ref="E24:F24"/>
    <mergeCell ref="G24:H24"/>
    <mergeCell ref="A49:A51"/>
  </mergeCells>
  <dataValidations count="12">
    <dataValidation type="decimal" allowBlank="1" showInputMessage="1" showErrorMessage="1" errorTitle="genericvolsherror" error="Must be between the 0 and 1." promptTitle="GenericVolsh" prompt="Generic share of scripts" sqref="B5" xr:uid="{B2D12178-3026-464F-BB5A-09DA04686F3F}">
      <formula1>0</formula1>
      <formula2>1</formula2>
    </dataValidation>
    <dataValidation type="decimal" allowBlank="1" showInputMessage="1" showErrorMessage="1" errorTitle="RebateshMedicareerror" error="Must be between the 0 and 1." promptTitle="RebateshMedicare" prompt="Rebates as a ratio to net Medicare Rx spend." sqref="B8" xr:uid="{372BB533-9738-1745-A2EA-60487E76E6E6}">
      <formula1>0</formula1>
      <formula2>1</formula2>
    </dataValidation>
    <dataValidation type="decimal" allowBlank="1" showInputMessage="1" showErrorMessage="1" errorTitle="RebateshPvterror" error="Must be between the 0 and 1." promptTitle="RebateshPvt" prompt="Rebates as a ratio to net Rx spend in the commercial segment." sqref="B9" xr:uid="{2C9C0871-921E-0B4C-BCD0-D820085A7CC4}">
      <formula1>0</formula1>
      <formula2>1</formula2>
    </dataValidation>
    <dataValidation type="decimal" allowBlank="1" showInputMessage="1" showErrorMessage="1" errorTitle="Pharmacyreverror" error="Must be in [0,1]" promptTitle="Pharmacyrev" prompt="Pharmacy revenue (net of discounts) as a ratio of industry net drug cost." sqref="B11" xr:uid="{F28C204A-0085-2241-81C6-D71605A2D704}">
      <formula1>0</formula1>
      <formula2>1</formula2>
    </dataValidation>
    <dataValidation type="decimal" allowBlank="1" showInputMessage="1" showErrorMessage="1" errorTitle="PharmacydiscPartDerror" error="Must be in [0,1]" promptTitle="PharmacydiscPartD" prompt="Pharmacy discounts as a ratio to gross pharmacy revenue, Part D." sqref="B13" xr:uid="{97AC1974-6397-644E-8384-63DAD12CAAE5}">
      <formula1>0</formula1>
      <formula2>1</formula2>
    </dataValidation>
    <dataValidation type="decimal" allowBlank="1" showInputMessage="1" showErrorMessage="1" errorTitle="PharmacydiscAllerror" error="Must be in [0,1]" promptTitle="PharmacydiscAll" prompt="Pharmacy discounts as a ratio to gross pharmacy revenue." sqref="B14" xr:uid="{512C4DC9-D739-364D-86CA-77CBAB562495}">
      <formula1>0</formula1>
      <formula2>1</formula2>
    </dataValidation>
    <dataValidation type="decimal" allowBlank="1" showInputMessage="1" showErrorMessage="1" errorTitle="PharmacyshAllerror" error="Must be in [0,1]" promptTitle="Pharmacysh" prompt="Rx share of retail pharmacies (as distinct from mail-order)." sqref="B15" xr:uid="{C0567B3E-5915-5A49-90F1-4CAFBBED4B05}">
      <formula1>0</formula1>
      <formula2>1</formula2>
    </dataValidation>
    <dataValidation type="decimal" operator="greaterThan" allowBlank="1" showInputMessage="1" showErrorMessage="1" errorTitle="PharmacyDIRdollarsPartDerror" error="Must be a positive number." promptTitle="PharmacyDIRdollarsPartD" prompt="Annual pharmacy DIR in the Part D segment." sqref="B17" xr:uid="{2FDE02F8-6A73-DF41-929E-2F4EBAF3BE5F}">
      <formula1>0</formula1>
    </dataValidation>
    <dataValidation type="decimal" operator="greaterThan" allowBlank="1" showInputMessage="1" showErrorMessage="1" errorTitle="PharmacyDIRdollarsError" error="Must be a positive number." promptTitle="PharmacyDIRdollars" prompt="Annual pharmacy DIR." sqref="B18" xr:uid="{93A4DB55-A280-D34A-9688-169A4C628DF1}">
      <formula1>0</formula1>
    </dataValidation>
    <dataValidation type="decimal" allowBlank="1" showInputMessage="1" showErrorMessage="1" errorTitle="GenericInsulinShError" error="Must be between the 0 and 1." promptTitle="GenericInsulinSh" prompt="Generic share of insulin scripts" sqref="B6" xr:uid="{4B77E5CE-D16C-3C44-8301-E706ACF1FE5A}">
      <formula1>0</formula1>
      <formula2>1</formula2>
    </dataValidation>
    <dataValidation type="decimal" allowBlank="1" showInputMessage="1" showErrorMessage="1" errorTitle="OOPperGDSInsulin" error="Must be between 0 and 1." promptTitle="OOPperGDSInsulin" prompt="Out of pocket spending per gross insulin spend" sqref="C43" xr:uid="{DE187F2F-2F6A-4A46-BB49-D9D99DC90183}">
      <formula1>0</formula1>
      <formula2>1</formula2>
    </dataValidation>
    <dataValidation type="decimal" allowBlank="1" showInputMessage="1" showErrorMessage="1" errorTitle="DWC error" promptTitle="DWC of PBM Monopoly" prompt="Must be a share between 0 and 0.5." sqref="B51" xr:uid="{8A8A06F6-AD2E-324B-A424-537CF70EDC39}">
      <formula1>0</formula1>
      <formula2>0.5</formula2>
    </dataValidation>
  </dataValidations>
  <hyperlinks>
    <hyperlink ref="D43" r:id="rId1" xr:uid="{A50E8E15-0F94-C944-B252-E3062D7DAD4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11</vt:i4>
      </vt:variant>
    </vt:vector>
  </HeadingPairs>
  <TitlesOfParts>
    <vt:vector size="11" baseType="lpstr">
      <vt:lpstr>README</vt:lpstr>
      <vt:lpstr>Tables12</vt:lpstr>
      <vt:lpstr>Tables34</vt:lpstr>
      <vt:lpstr>Table5</vt:lpstr>
      <vt:lpstr>PartD</vt:lpstr>
      <vt:lpstr>InsulinAct</vt:lpstr>
      <vt:lpstr>Pharmacy</vt:lpstr>
      <vt:lpstr>BenefitParams</vt:lpstr>
      <vt:lpstr>BackgroundInfo1</vt:lpstr>
      <vt:lpstr>BackgroundInfo2</vt:lpstr>
      <vt:lpstr>QuantitativeProse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Casey Mulligan</dc:creator>
  <cp:lastModifiedBy>Casey Mulligan</cp:lastModifiedBy>
  <dcterms:created xsi:type="dcterms:W3CDTF">2022-12-27T21:14:11Z</dcterms:created>
  <dcterms:modified xsi:type="dcterms:W3CDTF">2023-02-15T13:41:24Z</dcterms:modified>
</cp:coreProperties>
</file>